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6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HYPERLINK("https://www.youtube.com/watch?v=Hw5CPtEyedU", "Video")</f>
        <v/>
      </c>
      <c r="B2" t="inlineStr">
        <is>
          <t>3:00</t>
        </is>
      </c>
      <c r="C2" t="inlineStr">
        <is>
          <t>after in life what drives them what</t>
        </is>
      </c>
      <c r="D2">
        <f>HYPERLINK("https://www.youtube.com/watch?v=Hw5CPtEyedU&amp;t=180s", "Go to time")</f>
        <v/>
      </c>
    </row>
    <row r="3">
      <c r="A3">
        <f>HYPERLINK("https://www.youtube.com/watch?v=Hw5CPtEyedU", "Video")</f>
        <v/>
      </c>
      <c r="B3" t="inlineStr">
        <is>
          <t>3:24</t>
        </is>
      </c>
      <c r="C3" t="inlineStr">
        <is>
          <t>drives you forward what it is that you</t>
        </is>
      </c>
      <c r="D3">
        <f>HYPERLINK("https://www.youtube.com/watch?v=Hw5CPtEyedU&amp;t=204s", "Go to time")</f>
        <v/>
      </c>
    </row>
    <row r="4">
      <c r="A4">
        <f>HYPERLINK("https://www.youtube.com/watch?v=-zFTmyW2_tw", "Video")</f>
        <v/>
      </c>
      <c r="B4" t="inlineStr">
        <is>
          <t>0:59</t>
        </is>
      </c>
      <c r="C4" t="inlineStr">
        <is>
          <t>More AC drives
ever higher temperatures,</t>
        </is>
      </c>
      <c r="D4">
        <f>HYPERLINK("https://www.youtube.com/watch?v=-zFTmyW2_tw&amp;t=59s", "Go to time")</f>
        <v/>
      </c>
    </row>
    <row r="5">
      <c r="A5">
        <f>HYPERLINK("https://www.youtube.com/watch?v=yY29cd5SxYQ", "Video")</f>
        <v/>
      </c>
      <c r="B5" t="inlineStr">
        <is>
          <t>1:53</t>
        </is>
      </c>
      <c r="C5" t="inlineStr">
        <is>
          <t>What do you think
of the red car's driver?</t>
        </is>
      </c>
      <c r="D5">
        <f>HYPERLINK("https://www.youtube.com/watch?v=yY29cd5SxYQ&amp;t=113s", "Go to time")</f>
        <v/>
      </c>
    </row>
    <row r="6">
      <c r="A6">
        <f>HYPERLINK("https://www.youtube.com/watch?v=yY29cd5SxYQ", "Video")</f>
        <v/>
      </c>
      <c r="B6" t="inlineStr">
        <is>
          <t>1:57</t>
        </is>
      </c>
      <c r="C6" t="inlineStr">
        <is>
          <t>If you thought poorly
of the driver's character,</t>
        </is>
      </c>
      <c r="D6">
        <f>HYPERLINK("https://www.youtube.com/watch?v=yY29cd5SxYQ&amp;t=117s", "Go to time")</f>
        <v/>
      </c>
    </row>
    <row r="7">
      <c r="A7">
        <f>HYPERLINK("https://www.youtube.com/watch?v=yY29cd5SxYQ", "Video")</f>
        <v/>
      </c>
      <c r="B7" t="inlineStr">
        <is>
          <t>2:21</t>
        </is>
      </c>
      <c r="C7" t="inlineStr">
        <is>
          <t>that left the red car's driver
with little option.</t>
        </is>
      </c>
      <c r="D7">
        <f>HYPERLINK("https://www.youtube.com/watch?v=yY29cd5SxYQ&amp;t=141s", "Go to time")</f>
        <v/>
      </c>
    </row>
    <row r="8">
      <c r="A8">
        <f>HYPERLINK("https://www.youtube.com/watch?v=yY29cd5SxYQ", "Video")</f>
        <v/>
      </c>
      <c r="B8" t="inlineStr">
        <is>
          <t>2:50</t>
        </is>
      </c>
      <c r="C8" t="inlineStr">
        <is>
          <t>or the situational
needs of the driver</t>
        </is>
      </c>
      <c r="D8">
        <f>HYPERLINK("https://www.youtube.com/watch?v=yY29cd5SxYQ&amp;t=170s", "Go to time")</f>
        <v/>
      </c>
    </row>
    <row r="9">
      <c r="A9">
        <f>HYPERLINK("https://www.youtube.com/watch?v=4P2nGP1eq-w", "Video")</f>
        <v/>
      </c>
      <c r="B9" t="inlineStr">
        <is>
          <t>2:49</t>
        </is>
      </c>
      <c r="C9" t="inlineStr">
        <is>
          <t>As you drive on the road,</t>
        </is>
      </c>
      <c r="D9">
        <f>HYPERLINK("https://www.youtube.com/watch?v=4P2nGP1eq-w&amp;t=169s", "Go to time")</f>
        <v/>
      </c>
    </row>
    <row r="10">
      <c r="A10">
        <f>HYPERLINK("https://www.youtube.com/watch?v=4P2nGP1eq-w", "Video")</f>
        <v/>
      </c>
      <c r="B10" t="inlineStr">
        <is>
          <t>3:16</t>
        </is>
      </c>
      <c r="C10" t="inlineStr">
        <is>
          <t>You only have to drive 500 metres
in an average modern car</t>
        </is>
      </c>
      <c r="D10">
        <f>HYPERLINK("https://www.youtube.com/watch?v=4P2nGP1eq-w&amp;t=196s", "Go to time")</f>
        <v/>
      </c>
    </row>
    <row r="11">
      <c r="A11">
        <f>HYPERLINK("https://www.youtube.com/watch?v=4P2nGP1eq-w", "Video")</f>
        <v/>
      </c>
      <c r="B11" t="inlineStr">
        <is>
          <t>3:34</t>
        </is>
      </c>
      <c r="C11" t="inlineStr">
        <is>
          <t>If SUV drivers were a nation,</t>
        </is>
      </c>
      <c r="D11">
        <f>HYPERLINK("https://www.youtube.com/watch?v=4P2nGP1eq-w&amp;t=214s", "Go to time")</f>
        <v/>
      </c>
    </row>
    <row r="12">
      <c r="A12">
        <f>HYPERLINK("https://www.youtube.com/watch?v=4P2nGP1eq-w", "Video")</f>
        <v/>
      </c>
      <c r="B12" t="inlineStr">
        <is>
          <t>3:56</t>
        </is>
      </c>
      <c r="C12" t="inlineStr">
        <is>
          <t>six out of 10 people still drive.</t>
        </is>
      </c>
      <c r="D12">
        <f>HYPERLINK("https://www.youtube.com/watch?v=4P2nGP1eq-w&amp;t=236s", "Go to time")</f>
        <v/>
      </c>
    </row>
    <row r="13">
      <c r="A13">
        <f>HYPERLINK("https://www.youtube.com/watch?v=7lOJxI-3oqQ", "Video")</f>
        <v/>
      </c>
      <c r="B13" t="inlineStr">
        <is>
          <t>10:20</t>
        </is>
      </c>
      <c r="C13" t="inlineStr">
        <is>
          <t>Wow! Energy, intelligence, insight,
drive, passion, leadership.</t>
        </is>
      </c>
      <c r="D13">
        <f>HYPERLINK("https://www.youtube.com/watch?v=7lOJxI-3oqQ&amp;t=620s", "Go to time")</f>
        <v/>
      </c>
    </row>
    <row r="14">
      <c r="A14">
        <f>HYPERLINK("https://www.youtube.com/watch?v=SP4b8KqklkQ", "Video")</f>
        <v/>
      </c>
      <c r="B14" t="inlineStr">
        <is>
          <t>0:59</t>
        </is>
      </c>
      <c r="C14" t="inlineStr">
        <is>
          <t>fashion and very much profit driven</t>
        </is>
      </c>
      <c r="D14">
        <f>HYPERLINK("https://www.youtube.com/watch?v=SP4b8KqklkQ&amp;t=59s", "Go to time")</f>
        <v/>
      </c>
    </row>
    <row r="15">
      <c r="A15">
        <f>HYPERLINK("https://www.youtube.com/watch?v=Cuivnfvx8uw", "Video")</f>
        <v/>
      </c>
      <c r="B15" t="inlineStr">
        <is>
          <t>3:17</t>
        </is>
      </c>
      <c r="C15" t="inlineStr">
        <is>
          <t>And as for our driver, I think
she better head back to the surface.</t>
        </is>
      </c>
      <c r="D15">
        <f>HYPERLINK("https://www.youtube.com/watch?v=Cuivnfvx8uw&amp;t=197s", "Go to time")</f>
        <v/>
      </c>
    </row>
    <row r="16">
      <c r="A16">
        <f>HYPERLINK("https://www.youtube.com/watch?v=WRoraxSmT-M", "Video")</f>
        <v/>
      </c>
      <c r="B16" t="inlineStr">
        <is>
          <t>3:28</t>
        </is>
      </c>
      <c r="C16" t="inlineStr">
        <is>
          <t>very kind of powerful driver of</t>
        </is>
      </c>
      <c r="D16">
        <f>HYPERLINK("https://www.youtube.com/watch?v=WRoraxSmT-M&amp;t=208s", "Go to time")</f>
        <v/>
      </c>
    </row>
    <row r="17">
      <c r="A17">
        <f>HYPERLINK("https://www.youtube.com/watch?v=sdnp5SHZcR8", "Video")</f>
        <v/>
      </c>
      <c r="B17" t="inlineStr">
        <is>
          <t>3:17</t>
        </is>
      </c>
      <c r="C17" t="inlineStr">
        <is>
          <t>If this takes off, maybe delivery
drivers will be a thing of the past.</t>
        </is>
      </c>
      <c r="D17">
        <f>HYPERLINK("https://www.youtube.com/watch?v=sdnp5SHZcR8&amp;t=197s", "Go to time")</f>
        <v/>
      </c>
    </row>
    <row r="18">
      <c r="A18">
        <f>HYPERLINK("https://www.youtube.com/watch?v=ovg8G0Za9zk", "Video")</f>
        <v/>
      </c>
      <c r="B18" t="inlineStr">
        <is>
          <t>3:05</t>
        </is>
      </c>
      <c r="C18" t="inlineStr">
        <is>
          <t>Part of what drives me
is proving people wrong.</t>
        </is>
      </c>
      <c r="D18">
        <f>HYPERLINK("https://www.youtube.com/watch?v=ovg8G0Za9zk&amp;t=185s", "Go to time")</f>
        <v/>
      </c>
    </row>
    <row r="19">
      <c r="A19">
        <f>HYPERLINK("https://www.youtube.com/watch?v=tMiyzuO1qMs", "Video")</f>
        <v/>
      </c>
      <c r="B19" t="inlineStr">
        <is>
          <t>2:41</t>
        </is>
      </c>
      <c r="C19" t="inlineStr">
        <is>
          <t>possible for a driver to look directly</t>
        </is>
      </c>
      <c r="D19">
        <f>HYPERLINK("https://www.youtube.com/watch?v=tMiyzuO1qMs&amp;t=161s", "Go to time")</f>
        <v/>
      </c>
    </row>
    <row r="20">
      <c r="A20">
        <f>HYPERLINK("https://www.youtube.com/watch?v=6ZTcQfNDal8", "Video")</f>
        <v/>
      </c>
      <c r="B20" t="inlineStr">
        <is>
          <t>1:19</t>
        </is>
      </c>
      <c r="C20" t="inlineStr">
        <is>
          <t>destroy livestock, drive people mad,
or even kill them.</t>
        </is>
      </c>
      <c r="D20">
        <f>HYPERLINK("https://www.youtube.com/watch?v=6ZTcQfNDal8&amp;t=79s", "Go to time")</f>
        <v/>
      </c>
    </row>
    <row r="21">
      <c r="A21">
        <f>HYPERLINK("https://www.youtube.com/watch?v=62sdWDWDNBE", "Video")</f>
        <v/>
      </c>
      <c r="B21" t="inlineStr">
        <is>
          <t>3:52</t>
        </is>
      </c>
      <c r="C21" t="inlineStr">
        <is>
          <t>with his dazzling metal has driven us to</t>
        </is>
      </c>
      <c r="D21">
        <f>HYPERLINK("https://www.youtube.com/watch?v=62sdWDWDNBE&amp;t=232s", "Go to time")</f>
        <v/>
      </c>
    </row>
    <row r="22">
      <c r="A22">
        <f>HYPERLINK("https://www.youtube.com/watch?v=S8uV7t-IPew", "Video")</f>
        <v/>
      </c>
      <c r="B22" t="inlineStr">
        <is>
          <t>0:39</t>
        </is>
      </c>
      <c r="C22" t="inlineStr">
        <is>
          <t>Think of the celebrity who drives
an Aston Martin instead of say,</t>
        </is>
      </c>
      <c r="D22">
        <f>HYPERLINK("https://www.youtube.com/watch?v=S8uV7t-IPew&amp;t=39s", "Go to time")</f>
        <v/>
      </c>
    </row>
    <row r="23">
      <c r="A23">
        <f>HYPERLINK("https://www.youtube.com/watch?v=ACLL384Np4s", "Video")</f>
        <v/>
      </c>
      <c r="B23" t="inlineStr">
        <is>
          <t>0:16</t>
        </is>
      </c>
      <c r="C23" t="inlineStr">
        <is>
          <t>has been driven by the invention of new</t>
        </is>
      </c>
      <c r="D23">
        <f>HYPERLINK("https://www.youtube.com/watch?v=ACLL384Np4s&amp;t=16s", "Go to time")</f>
        <v/>
      </c>
    </row>
    <row r="24">
      <c r="A24">
        <f>HYPERLINK("https://www.youtube.com/watch?v=ACLL384Np4s", "Video")</f>
        <v/>
      </c>
      <c r="B24" t="inlineStr">
        <is>
          <t>2:53</t>
        </is>
      </c>
      <c r="C24" t="inlineStr">
        <is>
          <t>drive our communications journalism</t>
        </is>
      </c>
      <c r="D24">
        <f>HYPERLINK("https://www.youtube.com/watch?v=ACLL384Np4s&amp;t=173s", "Go to time")</f>
        <v/>
      </c>
    </row>
    <row r="25">
      <c r="A25">
        <f>HYPERLINK("https://www.youtube.com/watch?v=_zephafiitk", "Video")</f>
        <v/>
      </c>
      <c r="B25" t="inlineStr">
        <is>
          <t>5:02</t>
        </is>
      </c>
      <c r="C25" t="inlineStr">
        <is>
          <t>As for where all the nails
and the screwdrivers</t>
        </is>
      </c>
      <c r="D25">
        <f>HYPERLINK("https://www.youtube.com/watch?v=_zephafiitk&amp;t=302s", "Go to time")</f>
        <v/>
      </c>
    </row>
    <row r="26">
      <c r="A26">
        <f>HYPERLINK("https://www.youtube.com/watch?v=HQYF5twXZgU", "Video")</f>
        <v/>
      </c>
      <c r="B26" t="inlineStr">
        <is>
          <t>5:30</t>
        </is>
      </c>
      <c r="C26" t="inlineStr">
        <is>
          <t>if it would drive people to donate,</t>
        </is>
      </c>
      <c r="D26">
        <f>HYPERLINK("https://www.youtube.com/watch?v=HQYF5twXZgU&amp;t=330s", "Go to time")</f>
        <v/>
      </c>
    </row>
    <row r="27">
      <c r="A27">
        <f>HYPERLINK("https://www.youtube.com/watch?v=KT03cuiG47E", "Video")</f>
        <v/>
      </c>
      <c r="B27" t="inlineStr">
        <is>
          <t>0:34</t>
        </is>
      </c>
      <c r="C27" t="inlineStr">
        <is>
          <t>has driven us back to the stone age okay</t>
        </is>
      </c>
      <c r="D27">
        <f>HYPERLINK("https://www.youtube.com/watch?v=KT03cuiG47E&amp;t=34s", "Go to time")</f>
        <v/>
      </c>
    </row>
    <row r="28">
      <c r="A28">
        <f>HYPERLINK("https://www.youtube.com/watch?v=KUjZkmxnWV8", "Video")</f>
        <v/>
      </c>
      <c r="B28" t="inlineStr">
        <is>
          <t>2:21</t>
        </is>
      </c>
      <c r="C28" t="inlineStr">
        <is>
          <t>a country ruled by Britain we drive our</t>
        </is>
      </c>
      <c r="D28">
        <f>HYPERLINK("https://www.youtube.com/watch?v=KUjZkmxnWV8&amp;t=141s", "Go to time")</f>
        <v/>
      </c>
    </row>
    <row r="29">
      <c r="A29">
        <f>HYPERLINK("https://www.youtube.com/watch?v=KUjZkmxnWV8", "Video")</f>
        <v/>
      </c>
      <c r="B29" t="inlineStr">
        <is>
          <t>2:24</t>
        </is>
      </c>
      <c r="C29" t="inlineStr">
        <is>
          <t>buses we drive an aeroplane we drive on</t>
        </is>
      </c>
      <c r="D29">
        <f>HYPERLINK("https://www.youtube.com/watch?v=KUjZkmxnWV8&amp;t=144s", "Go to time")</f>
        <v/>
      </c>
    </row>
    <row r="30">
      <c r="A30">
        <f>HYPERLINK("https://www.youtube.com/watch?v=hZlBaLSqqEg", "Video")</f>
        <v/>
      </c>
      <c r="B30" t="inlineStr">
        <is>
          <t>1:05</t>
        </is>
      </c>
      <c r="C30" t="inlineStr">
        <is>
          <t>I really think the internet
has driven a massive change.</t>
        </is>
      </c>
      <c r="D30">
        <f>HYPERLINK("https://www.youtube.com/watch?v=hZlBaLSqqEg&amp;t=65s", "Go to time")</f>
        <v/>
      </c>
    </row>
    <row r="31">
      <c r="A31">
        <f>HYPERLINK("https://www.youtube.com/watch?v=o8HyB0SnHJM", "Video")</f>
        <v/>
      </c>
      <c r="B31" t="inlineStr">
        <is>
          <t>2:45</t>
        </is>
      </c>
      <c r="C31" t="inlineStr">
        <is>
          <t>and drive wanting to make a difference</t>
        </is>
      </c>
      <c r="D31">
        <f>HYPERLINK("https://www.youtube.com/watch?v=o8HyB0SnHJM&amp;t=165s", "Go to time")</f>
        <v/>
      </c>
    </row>
    <row r="32">
      <c r="A32">
        <f>HYPERLINK("https://www.youtube.com/watch?v=jwhoCiJzK9o", "Video")</f>
        <v/>
      </c>
      <c r="B32" t="inlineStr">
        <is>
          <t>0:10</t>
        </is>
      </c>
      <c r="C32" t="inlineStr">
        <is>
          <t>what drives us to commit
acts of violence.</t>
        </is>
      </c>
      <c r="D32">
        <f>HYPERLINK("https://www.youtube.com/watch?v=jwhoCiJzK9o&amp;t=10s", "Go to time")</f>
        <v/>
      </c>
    </row>
    <row r="33">
      <c r="A33">
        <f>HYPERLINK("https://www.youtube.com/watch?v=jwhoCiJzK9o", "Video")</f>
        <v/>
      </c>
      <c r="B33" t="inlineStr">
        <is>
          <t>0:19</t>
        </is>
      </c>
      <c r="C33" t="inlineStr">
        <is>
          <t>Or is it driven by something
completely different -</t>
        </is>
      </c>
      <c r="D33">
        <f>HYPERLINK("https://www.youtube.com/watch?v=jwhoCiJzK9o&amp;t=19s", "Go to time")</f>
        <v/>
      </c>
    </row>
    <row r="34">
      <c r="A34">
        <f>HYPERLINK("https://www.youtube.com/watch?v=PbEVwQdWdAQ", "Video")</f>
        <v/>
      </c>
      <c r="B34" t="inlineStr">
        <is>
          <t>3:33</t>
        </is>
      </c>
      <c r="C34" t="inlineStr">
        <is>
          <t>was a fingermark on the
outside of the driver's door,</t>
        </is>
      </c>
      <c r="D34">
        <f>HYPERLINK("https://www.youtube.com/watch?v=PbEVwQdWdAQ&amp;t=213s", "Go to time")</f>
        <v/>
      </c>
    </row>
    <row r="35">
      <c r="A35">
        <f>HYPERLINK("https://www.youtube.com/watch?v=ubaSPnrRCjw", "Video")</f>
        <v/>
      </c>
      <c r="B35" t="inlineStr">
        <is>
          <t>10:45</t>
        </is>
      </c>
      <c r="C35" t="inlineStr">
        <is>
          <t>driven to make money we're driven to</t>
        </is>
      </c>
      <c r="D35">
        <f>HYPERLINK("https://www.youtube.com/watch?v=ubaSPnrRCjw&amp;t=645s", "Go to time")</f>
        <v/>
      </c>
    </row>
    <row r="36">
      <c r="A36">
        <f>HYPERLINK("https://www.youtube.com/watch?v=8PwAhNV3FwE", "Video")</f>
        <v/>
      </c>
      <c r="B36" t="inlineStr">
        <is>
          <t>2:40</t>
        </is>
      </c>
      <c r="C36" t="inlineStr">
        <is>
          <t>environment it's partly driven by what</t>
        </is>
      </c>
      <c r="D36">
        <f>HYPERLINK("https://www.youtube.com/watch?v=8PwAhNV3FwE&amp;t=160s", "Go to time")</f>
        <v/>
      </c>
    </row>
    <row r="37">
      <c r="A37">
        <f>HYPERLINK("https://www.youtube.com/watch?v=8PwAhNV3FwE", "Video")</f>
        <v/>
      </c>
      <c r="B37" t="inlineStr">
        <is>
          <t>2:44</t>
        </is>
      </c>
      <c r="C37" t="inlineStr">
        <is>
          <t>they're in it's partly driven by what</t>
        </is>
      </c>
      <c r="D37">
        <f>HYPERLINK("https://www.youtube.com/watch?v=8PwAhNV3FwE&amp;t=164s", "Go to time")</f>
        <v/>
      </c>
    </row>
    <row r="38">
      <c r="A38">
        <f>HYPERLINK("https://www.youtube.com/watch?v=8PwAhNV3FwE", "Video")</f>
        <v/>
      </c>
      <c r="B38" t="inlineStr">
        <is>
          <t>2:48</t>
        </is>
      </c>
      <c r="C38" t="inlineStr">
        <is>
          <t>it's partly driven by what their product</t>
        </is>
      </c>
      <c r="D38">
        <f>HYPERLINK("https://www.youtube.com/watch?v=8PwAhNV3FwE&amp;t=168s", "Go to time")</f>
        <v/>
      </c>
    </row>
    <row r="39">
      <c r="A39">
        <f>HYPERLINK("https://www.youtube.com/watch?v=8PwAhNV3FwE", "Video")</f>
        <v/>
      </c>
      <c r="B39" t="inlineStr">
        <is>
          <t>2:51</t>
        </is>
      </c>
      <c r="C39" t="inlineStr">
        <is>
          <t>partly driven by a company's ability to</t>
        </is>
      </c>
      <c r="D39">
        <f>HYPERLINK("https://www.youtube.com/watch?v=8PwAhNV3FwE&amp;t=171s", "Go to time")</f>
        <v/>
      </c>
    </row>
    <row r="40">
      <c r="A40">
        <f>HYPERLINK("https://www.youtube.com/watch?v=KdNWgmMSCMI", "Video")</f>
        <v/>
      </c>
      <c r="B40" t="inlineStr">
        <is>
          <t>4:34</t>
        </is>
      </c>
      <c r="C40" t="inlineStr">
        <is>
          <t>my God I said to driver I said stop the</t>
        </is>
      </c>
      <c r="D40">
        <f>HYPERLINK("https://www.youtube.com/watch?v=KdNWgmMSCMI&amp;t=274s", "Go to time")</f>
        <v/>
      </c>
    </row>
    <row r="41">
      <c r="A41">
        <f>HYPERLINK("https://www.youtube.com/watch?v=PDw_rUFkcm0", "Video")</f>
        <v/>
      </c>
      <c r="B41" t="inlineStr">
        <is>
          <t>0:16</t>
        </is>
      </c>
      <c r="C41" t="inlineStr">
        <is>
          <t>Mormons have to be driven out of the</t>
        </is>
      </c>
      <c r="D41">
        <f>HYPERLINK("https://www.youtube.com/watch?v=PDw_rUFkcm0&amp;t=16s", "Go to time")</f>
        <v/>
      </c>
    </row>
    <row r="42">
      <c r="A42">
        <f>HYPERLINK("https://www.youtube.com/watch?v=Pzsjw-i6PNc", "Video")</f>
        <v/>
      </c>
      <c r="B42" t="inlineStr">
        <is>
          <t>3:13</t>
        </is>
      </c>
      <c r="C42" t="inlineStr">
        <is>
          <t>Jumping spiders are very driven by vision.</t>
        </is>
      </c>
      <c r="D42">
        <f>HYPERLINK("https://www.youtube.com/watch?v=Pzsjw-i6PNc&amp;t=193s", "Go to time")</f>
        <v/>
      </c>
    </row>
    <row r="43">
      <c r="A43">
        <f>HYPERLINK("https://www.youtube.com/watch?v=_gi4lYDOOWw", "Video")</f>
        <v/>
      </c>
      <c r="B43" t="inlineStr">
        <is>
          <t>3:41</t>
        </is>
      </c>
      <c r="C43" t="inlineStr">
        <is>
          <t>going to do it before you want to drive</t>
        </is>
      </c>
      <c r="D43">
        <f>HYPERLINK("https://www.youtube.com/watch?v=_gi4lYDOOWw&amp;t=221s", "Go to time")</f>
        <v/>
      </c>
    </row>
    <row r="44">
      <c r="A44">
        <f>HYPERLINK("https://www.youtube.com/watch?v=_gi4lYDOOWw", "Video")</f>
        <v/>
      </c>
      <c r="B44" t="inlineStr">
        <is>
          <t>4:44</t>
        </is>
      </c>
      <c r="C44" t="inlineStr">
        <is>
          <t>driven in a uh a in this case a</t>
        </is>
      </c>
      <c r="D44">
        <f>HYPERLINK("https://www.youtube.com/watch?v=_gi4lYDOOWw&amp;t=284s", "Go to time")</f>
        <v/>
      </c>
    </row>
    <row r="45">
      <c r="A45">
        <f>HYPERLINK("https://www.youtube.com/watch?v=_gi4lYDOOWw", "Video")</f>
        <v/>
      </c>
      <c r="B45" t="inlineStr">
        <is>
          <t>5:03</t>
        </is>
      </c>
      <c r="C45" t="inlineStr">
        <is>
          <t>can drive it to work one day and the car</t>
        </is>
      </c>
      <c r="D45">
        <f>HYPERLINK("https://www.youtube.com/watch?v=_gi4lYDOOWw&amp;t=303s", "Go to time")</f>
        <v/>
      </c>
    </row>
    <row r="46">
      <c r="A46">
        <f>HYPERLINK("https://www.youtube.com/watch?v=_gi4lYDOOWw", "Video")</f>
        <v/>
      </c>
      <c r="B46" t="inlineStr">
        <is>
          <t>5:07</t>
        </is>
      </c>
      <c r="C46" t="inlineStr">
        <is>
          <t>put your dog in the driver's seat the</t>
        </is>
      </c>
      <c r="D46">
        <f>HYPERLINK("https://www.youtube.com/watch?v=_gi4lYDOOWw&amp;t=307s", "Go to time")</f>
        <v/>
      </c>
    </row>
    <row r="47">
      <c r="A47">
        <f>HYPERLINK("https://www.youtube.com/watch?v=uVrVdtSFK7c", "Video")</f>
        <v/>
      </c>
      <c r="B47" t="inlineStr">
        <is>
          <t>1:15</t>
        </is>
      </c>
      <c r="C47" t="inlineStr">
        <is>
          <t>DNA something that drives curiosity they</t>
        </is>
      </c>
      <c r="D47">
        <f>HYPERLINK("https://www.youtube.com/watch?v=uVrVdtSFK7c&amp;t=75s", "Go to time")</f>
        <v/>
      </c>
    </row>
    <row r="48">
      <c r="A48">
        <f>HYPERLINK("https://www.youtube.com/watch?v=KJ9w-xFAq2U", "Video")</f>
        <v/>
      </c>
      <c r="B48" t="inlineStr">
        <is>
          <t>20:52</t>
        </is>
      </c>
      <c r="C48" t="inlineStr">
        <is>
          <t>I think we were talking a
little bit on the drive up here</t>
        </is>
      </c>
      <c r="D48">
        <f>HYPERLINK("https://www.youtube.com/watch?v=KJ9w-xFAq2U&amp;t=1252s", "Go to time")</f>
        <v/>
      </c>
    </row>
    <row r="49">
      <c r="A49">
        <f>HYPERLINK("https://www.youtube.com/watch?v=GcegAH8uYog", "Video")</f>
        <v/>
      </c>
      <c r="B49" t="inlineStr">
        <is>
          <t>3:12</t>
        </is>
      </c>
      <c r="C49" t="inlineStr">
        <is>
          <t>the business models that drive society.</t>
        </is>
      </c>
      <c r="D49">
        <f>HYPERLINK("https://www.youtube.com/watch?v=GcegAH8uYog&amp;t=192s", "Go to time")</f>
        <v/>
      </c>
    </row>
    <row r="50">
      <c r="A50">
        <f>HYPERLINK("https://www.youtube.com/watch?v=3FGy_GD8QJg", "Video")</f>
        <v/>
      </c>
      <c r="B50" t="inlineStr">
        <is>
          <t>2:02</t>
        </is>
      </c>
      <c r="C50" t="inlineStr">
        <is>
          <t>is driven by simultaneous fear of a</t>
        </is>
      </c>
      <c r="D50">
        <f>HYPERLINK("https://www.youtube.com/watch?v=3FGy_GD8QJg&amp;t=122s", "Go to time")</f>
        <v/>
      </c>
    </row>
    <row r="51">
      <c r="A51">
        <f>HYPERLINK("https://www.youtube.com/watch?v=EAPXM50wy_U", "Video")</f>
        <v/>
      </c>
      <c r="B51" t="inlineStr">
        <is>
          <t>7:23</t>
        </is>
      </c>
      <c r="C51" t="inlineStr">
        <is>
          <t>to build star drives that
allow us to explore the stars</t>
        </is>
      </c>
      <c r="D51">
        <f>HYPERLINK("https://www.youtube.com/watch?v=EAPXM50wy_U&amp;t=443s", "Go to time")</f>
        <v/>
      </c>
    </row>
    <row r="52">
      <c r="A52">
        <f>HYPERLINK("https://www.youtube.com/watch?v=dFPpZ87Lilg", "Video")</f>
        <v/>
      </c>
      <c r="B52" t="inlineStr">
        <is>
          <t>0:25</t>
        </is>
      </c>
      <c r="C52" t="inlineStr">
        <is>
          <t>his book purpose-driven life that we</t>
        </is>
      </c>
      <c r="D52">
        <f>HYPERLINK("https://www.youtube.com/watch?v=dFPpZ87Lilg&amp;t=25s", "Go to time")</f>
        <v/>
      </c>
    </row>
    <row r="53">
      <c r="A53">
        <f>HYPERLINK("https://www.youtube.com/watch?v=328wX2x_s5g", "Video")</f>
        <v/>
      </c>
      <c r="B53" t="inlineStr">
        <is>
          <t>26:37</t>
        </is>
      </c>
      <c r="C53" t="inlineStr">
        <is>
          <t>And an unconscious system is more statistics
driven, more biased and less sensitive to</t>
        </is>
      </c>
      <c r="D53">
        <f>HYPERLINK("https://www.youtube.com/watch?v=328wX2x_s5g&amp;t=1597s", "Go to time")</f>
        <v/>
      </c>
    </row>
    <row r="54">
      <c r="A54">
        <f>HYPERLINK("https://www.youtube.com/watch?v=328wX2x_s5g", "Video")</f>
        <v/>
      </c>
      <c r="B54" t="inlineStr">
        <is>
          <t>26:52</t>
        </is>
      </c>
      <c r="C54" t="inlineStr">
        <is>
          <t>which is often driven by bias.</t>
        </is>
      </c>
      <c r="D54">
        <f>HYPERLINK("https://www.youtube.com/watch?v=328wX2x_s5g&amp;t=1612s", "Go to time")</f>
        <v/>
      </c>
    </row>
    <row r="55">
      <c r="A55">
        <f>HYPERLINK("https://www.youtube.com/watch?v=328wX2x_s5g", "Video")</f>
        <v/>
      </c>
      <c r="B55" t="inlineStr">
        <is>
          <t>27:55</t>
        </is>
      </c>
      <c r="C55" t="inlineStr">
        <is>
          <t>This conscious, this unconscious system is
data-driven, is however prone to tremendous</t>
        </is>
      </c>
      <c r="D55">
        <f>HYPERLINK("https://www.youtube.com/watch?v=328wX2x_s5g&amp;t=1675s", "Go to time")</f>
        <v/>
      </c>
    </row>
    <row r="56">
      <c r="A56">
        <f>HYPERLINK("https://www.youtube.com/watch?v=328wX2x_s5g", "Video")</f>
        <v/>
      </c>
      <c r="B56" t="inlineStr">
        <is>
          <t>28:27</t>
        </is>
      </c>
      <c r="C56" t="inlineStr">
        <is>
          <t>quirky unconscious biases that drive our behavior
when pressing buttons and responding very</t>
        </is>
      </c>
      <c r="D56">
        <f>HYPERLINK("https://www.youtube.com/watch?v=328wX2x_s5g&amp;t=1707s", "Go to time")</f>
        <v/>
      </c>
    </row>
    <row r="57">
      <c r="A57">
        <f>HYPERLINK("https://www.youtube.com/watch?v=0KBT3OE9PcM", "Video")</f>
        <v/>
      </c>
      <c r="B57" t="inlineStr">
        <is>
          <t>2:59</t>
        </is>
      </c>
      <c r="C57" t="inlineStr">
        <is>
          <t>ultimately drive that because they have</t>
        </is>
      </c>
      <c r="D57">
        <f>HYPERLINK("https://www.youtube.com/watch?v=0KBT3OE9PcM&amp;t=179s", "Go to time")</f>
        <v/>
      </c>
    </row>
    <row r="58">
      <c r="A58">
        <f>HYPERLINK("https://www.youtube.com/watch?v=1wrUU_tV1YE", "Video")</f>
        <v/>
      </c>
      <c r="B58" t="inlineStr">
        <is>
          <t>3:06</t>
        </is>
      </c>
      <c r="C58" t="inlineStr">
        <is>
          <t>And he says, "These people will have this
drive, this unstoppable drive,” and this</t>
        </is>
      </c>
      <c r="D58">
        <f>HYPERLINK("https://www.youtube.com/watch?v=1wrUU_tV1YE&amp;t=186s", "Go to time")</f>
        <v/>
      </c>
    </row>
    <row r="59">
      <c r="A59">
        <f>HYPERLINK("https://www.youtube.com/watch?v=1wrUU_tV1YE", "Video")</f>
        <v/>
      </c>
      <c r="B59" t="inlineStr">
        <is>
          <t>3:39</t>
        </is>
      </c>
      <c r="C59" t="inlineStr">
        <is>
          <t>agent of a larger destiny and that it was
this drive for renown that made him, that</t>
        </is>
      </c>
      <c r="D59">
        <f>HYPERLINK("https://www.youtube.com/watch?v=1wrUU_tV1YE&amp;t=219s", "Go to time")</f>
        <v/>
      </c>
    </row>
    <row r="60">
      <c r="A60">
        <f>HYPERLINK("https://www.youtube.com/watch?v=zDNzBgGYB3k", "Video")</f>
        <v/>
      </c>
      <c r="B60" t="inlineStr">
        <is>
          <t>5:27</t>
        </is>
      </c>
      <c r="C60" t="inlineStr">
        <is>
          <t>it's all it also would drive the price</t>
        </is>
      </c>
      <c r="D60">
        <f>HYPERLINK("https://www.youtube.com/watch?v=zDNzBgGYB3k&amp;t=327s", "Go to time")</f>
        <v/>
      </c>
    </row>
    <row r="61">
      <c r="A61">
        <f>HYPERLINK("https://www.youtube.com/watch?v=MPQB67-YKM0", "Video")</f>
        <v/>
      </c>
      <c r="B61" t="inlineStr">
        <is>
          <t>2:14</t>
        </is>
      </c>
      <c r="C61" t="inlineStr">
        <is>
          <t>As we've worked with the telecom people on
that pre-paid model to drive that down.</t>
        </is>
      </c>
      <c r="D61">
        <f>HYPERLINK("https://www.youtube.com/watch?v=MPQB67-YKM0&amp;t=134s", "Go to time")</f>
        <v/>
      </c>
    </row>
    <row r="62">
      <c r="A62">
        <f>HYPERLINK("https://www.youtube.com/watch?v=MPQB67-YKM0", "Video")</f>
        <v/>
      </c>
      <c r="B62" t="inlineStr">
        <is>
          <t>4:04</t>
        </is>
      </c>
      <c r="C62" t="inlineStr">
        <is>
          <t>to reach the schools, every teacher with a
laptop to drive their education programs or</t>
        </is>
      </c>
      <c r="D62">
        <f>HYPERLINK("https://www.youtube.com/watch?v=MPQB67-YKM0&amp;t=244s", "Go to time")</f>
        <v/>
      </c>
    </row>
    <row r="63">
      <c r="A63">
        <f>HYPERLINK("https://www.youtube.com/watch?v=gzksqQDI_kE", "Video")</f>
        <v/>
      </c>
      <c r="B63" t="inlineStr">
        <is>
          <t>0:29</t>
        </is>
      </c>
      <c r="C63" t="inlineStr">
        <is>
          <t>That's an overwhelming majority and that needs
to drive the decision, especially in a democracy.</t>
        </is>
      </c>
      <c r="D63">
        <f>HYPERLINK("https://www.youtube.com/watch?v=gzksqQDI_kE&amp;t=29s", "Go to time")</f>
        <v/>
      </c>
    </row>
    <row r="64">
      <c r="A64">
        <f>HYPERLINK("https://www.youtube.com/watch?v=gzksqQDI_kE", "Video")</f>
        <v/>
      </c>
      <c r="B64" t="inlineStr">
        <is>
          <t>4:20</t>
        </is>
      </c>
      <c r="C64" t="inlineStr">
        <is>
          <t>It would mean parts of the world could be
hit by six climate driven natural disasters</t>
        </is>
      </c>
      <c r="D64">
        <f>HYPERLINK("https://www.youtube.com/watch?v=gzksqQDI_kE&amp;t=260s", "Go to time")</f>
        <v/>
      </c>
    </row>
    <row r="65">
      <c r="A65">
        <f>HYPERLINK("https://www.youtube.com/watch?v=Wa6mkQOe3Lc", "Video")</f>
        <v/>
      </c>
      <c r="B65" t="inlineStr">
        <is>
          <t>4:20</t>
        </is>
      </c>
      <c r="C65" t="inlineStr">
        <is>
          <t>driver got shot in the arm um and it was</t>
        </is>
      </c>
      <c r="D65">
        <f>HYPERLINK("https://www.youtube.com/watch?v=Wa6mkQOe3Lc&amp;t=260s", "Go to time")</f>
        <v/>
      </c>
    </row>
    <row r="66">
      <c r="A66">
        <f>HYPERLINK("https://www.youtube.com/watch?v=Wa6mkQOe3Lc", "Video")</f>
        <v/>
      </c>
      <c r="B66" t="inlineStr">
        <is>
          <t>4:47</t>
        </is>
      </c>
      <c r="C66" t="inlineStr">
        <is>
          <t>a drive by and we drive the only</t>
        </is>
      </c>
      <c r="D66">
        <f>HYPERLINK("https://www.youtube.com/watch?v=Wa6mkQOe3Lc&amp;t=287s", "Go to time")</f>
        <v/>
      </c>
    </row>
    <row r="67">
      <c r="A67">
        <f>HYPERLINK("https://www.youtube.com/watch?v=EMkTic4ztU8", "Video")</f>
        <v/>
      </c>
      <c r="B67" t="inlineStr">
        <is>
          <t>1:08</t>
        </is>
      </c>
      <c r="C67" t="inlineStr">
        <is>
          <t>charge and the customer drives and open</t>
        </is>
      </c>
      <c r="D67">
        <f>HYPERLINK("https://www.youtube.com/watch?v=EMkTic4ztU8&amp;t=68s", "Go to time")</f>
        <v/>
      </c>
    </row>
    <row r="68">
      <c r="A68">
        <f>HYPERLINK("https://www.youtube.com/watch?v=ywp4vaFJASE", "Video")</f>
        <v/>
      </c>
      <c r="B68" t="inlineStr">
        <is>
          <t>2:37</t>
        </is>
      </c>
      <c r="C68" t="inlineStr">
        <is>
          <t>You might call it ambition or just a drive
for excellence and being in love with my job.</t>
        </is>
      </c>
      <c r="D68">
        <f>HYPERLINK("https://www.youtube.com/watch?v=ywp4vaFJASE&amp;t=157s", "Go to time")</f>
        <v/>
      </c>
    </row>
    <row r="69">
      <c r="A69">
        <f>HYPERLINK("https://www.youtube.com/watch?v=_cYFdUT3JTo", "Video")</f>
        <v/>
      </c>
      <c r="B69" t="inlineStr">
        <is>
          <t>4:18</t>
        </is>
      </c>
      <c r="C69" t="inlineStr">
        <is>
          <t>driver is wearing camouflage including a</t>
        </is>
      </c>
      <c r="D69">
        <f>HYPERLINK("https://www.youtube.com/watch?v=_cYFdUT3JTo&amp;t=258s", "Go to time")</f>
        <v/>
      </c>
    </row>
    <row r="70">
      <c r="A70">
        <f>HYPERLINK("https://www.youtube.com/watch?v=B2zCWJBnfuE", "Video")</f>
        <v/>
      </c>
      <c r="B70" t="inlineStr">
        <is>
          <t>6:05</t>
        </is>
      </c>
      <c r="C70" t="inlineStr">
        <is>
          <t>too much time of the drivers.</t>
        </is>
      </c>
      <c r="D70">
        <f>HYPERLINK("https://www.youtube.com/watch?v=B2zCWJBnfuE&amp;t=365s", "Go to time")</f>
        <v/>
      </c>
    </row>
    <row r="71">
      <c r="A71">
        <f>HYPERLINK("https://www.youtube.com/watch?v=IG9HxttOKGQ", "Video")</f>
        <v/>
      </c>
      <c r="B71" t="inlineStr">
        <is>
          <t>14:18</t>
        </is>
      </c>
      <c r="C71" t="inlineStr">
        <is>
          <t>and let them drive the car so that</t>
        </is>
      </c>
      <c r="D71">
        <f>HYPERLINK("https://www.youtube.com/watch?v=IG9HxttOKGQ&amp;t=858s", "Go to time")</f>
        <v/>
      </c>
    </row>
    <row r="72">
      <c r="A72">
        <f>HYPERLINK("https://www.youtube.com/watch?v=IG9HxttOKGQ", "Video")</f>
        <v/>
      </c>
      <c r="B72" t="inlineStr">
        <is>
          <t>34:16</t>
        </is>
      </c>
      <c r="C72" t="inlineStr">
        <is>
          <t>charge and the customer drives and open</t>
        </is>
      </c>
      <c r="D72">
        <f>HYPERLINK("https://www.youtube.com/watch?v=IG9HxttOKGQ&amp;t=2056s", "Go to time")</f>
        <v/>
      </c>
    </row>
    <row r="73">
      <c r="A73">
        <f>HYPERLINK("https://www.youtube.com/watch?v=xDaBjc4QyWU", "Video")</f>
        <v/>
      </c>
      <c r="B73" t="inlineStr">
        <is>
          <t>0:47</t>
        </is>
      </c>
      <c r="C73" t="inlineStr">
        <is>
          <t>It’s like there’s so many presumptions
that drive us into wage slavery, debt, and</t>
        </is>
      </c>
      <c r="D73">
        <f>HYPERLINK("https://www.youtube.com/watch?v=xDaBjc4QyWU&amp;t=47s", "Go to time")</f>
        <v/>
      </c>
    </row>
    <row r="74">
      <c r="A74">
        <f>HYPERLINK("https://www.youtube.com/watch?v=6nSMEgBmHj4", "Video")</f>
        <v/>
      </c>
      <c r="B74" t="inlineStr">
        <is>
          <t>0:52</t>
        </is>
      </c>
      <c r="C74" t="inlineStr">
        <is>
          <t>Instinct it's the impulse that drives</t>
        </is>
      </c>
      <c r="D74">
        <f>HYPERLINK("https://www.youtube.com/watch?v=6nSMEgBmHj4&amp;t=52s", "Go to time")</f>
        <v/>
      </c>
    </row>
    <row r="75">
      <c r="A75">
        <f>HYPERLINK("https://www.youtube.com/watch?v=nDStFRcXhJQ", "Video")</f>
        <v/>
      </c>
      <c r="B75" t="inlineStr">
        <is>
          <t>0:53</t>
        </is>
      </c>
      <c r="C75" t="inlineStr">
        <is>
          <t>And I really framed it this way, which is
what are the biggest drivers of culture, the</t>
        </is>
      </c>
      <c r="D75">
        <f>HYPERLINK("https://www.youtube.com/watch?v=nDStFRcXhJQ&amp;t=53s", "Go to time")</f>
        <v/>
      </c>
    </row>
    <row r="76">
      <c r="A76">
        <f>HYPERLINK("https://www.youtube.com/watch?v=nDStFRcXhJQ", "Video")</f>
        <v/>
      </c>
      <c r="B76" t="inlineStr">
        <is>
          <t>1:50</t>
        </is>
      </c>
      <c r="C76" t="inlineStr">
        <is>
          <t>culture is really the X factor that's going
to drive the results, and I've heard that</t>
        </is>
      </c>
      <c r="D76">
        <f>HYPERLINK("https://www.youtube.com/watch?v=nDStFRcXhJQ&amp;t=110s", "Go to time")</f>
        <v/>
      </c>
    </row>
    <row r="77">
      <c r="A77">
        <f>HYPERLINK("https://www.youtube.com/watch?v=nDStFRcXhJQ", "Video")</f>
        <v/>
      </c>
      <c r="B77" t="inlineStr">
        <is>
          <t>2:20</t>
        </is>
      </c>
      <c r="C77" t="inlineStr">
        <is>
          <t>so that's why I really tried to frame it around
the question of what are the biggest drivers</t>
        </is>
      </c>
      <c r="D77">
        <f>HYPERLINK("https://www.youtube.com/watch?v=nDStFRcXhJQ&amp;t=140s", "Go to time")</f>
        <v/>
      </c>
    </row>
    <row r="78">
      <c r="A78">
        <f>HYPERLINK("https://www.youtube.com/watch?v=nDStFRcXhJQ", "Video")</f>
        <v/>
      </c>
      <c r="B78" t="inlineStr">
        <is>
          <t>4:29</t>
        </is>
      </c>
      <c r="C78" t="inlineStr">
        <is>
          <t>And to me one of the biggest drivers of that,
one of the most effective tools for creating</t>
        </is>
      </c>
      <c r="D78">
        <f>HYPERLINK("https://www.youtube.com/watch?v=nDStFRcXhJQ&amp;t=269s", "Go to time")</f>
        <v/>
      </c>
    </row>
    <row r="79">
      <c r="A79">
        <f>HYPERLINK("https://www.youtube.com/watch?v=oEtLrVDoSNo", "Video")</f>
        <v/>
      </c>
      <c r="B79" t="inlineStr">
        <is>
          <t>2:26</t>
        </is>
      </c>
      <c r="C79" t="inlineStr">
        <is>
          <t>cars to, you know, to drive by themselves.</t>
        </is>
      </c>
      <c r="D79">
        <f>HYPERLINK("https://www.youtube.com/watch?v=oEtLrVDoSNo&amp;t=146s", "Go to time")</f>
        <v/>
      </c>
    </row>
    <row r="80">
      <c r="A80">
        <f>HYPERLINK("https://www.youtube.com/watch?v=LKan13MCgRc", "Video")</f>
        <v/>
      </c>
      <c r="B80" t="inlineStr">
        <is>
          <t>2:28</t>
        </is>
      </c>
      <c r="C80" t="inlineStr">
        <is>
          <t>themsel they have a natural drive for</t>
        </is>
      </c>
      <c r="D80">
        <f>HYPERLINK("https://www.youtube.com/watch?v=LKan13MCgRc&amp;t=148s", "Go to time")</f>
        <v/>
      </c>
    </row>
    <row r="81">
      <c r="A81">
        <f>HYPERLINK("https://www.youtube.com/watch?v=LKan13MCgRc", "Video")</f>
        <v/>
      </c>
      <c r="B81" t="inlineStr">
        <is>
          <t>2:40</t>
        </is>
      </c>
      <c r="C81" t="inlineStr">
        <is>
          <t>Market Drive Market interest so I'm</t>
        </is>
      </c>
      <c r="D81">
        <f>HYPERLINK("https://www.youtube.com/watch?v=LKan13MCgRc&amp;t=160s", "Go to time")</f>
        <v/>
      </c>
    </row>
    <row r="82">
      <c r="A82">
        <f>HYPERLINK("https://www.youtube.com/watch?v=uUfq1WJW7Xs", "Video")</f>
        <v/>
      </c>
      <c r="B82" t="inlineStr">
        <is>
          <t>6:23</t>
        </is>
      </c>
      <c r="C82" t="inlineStr">
        <is>
          <t>there is this ego drive and
this competitive pressure</t>
        </is>
      </c>
      <c r="D82">
        <f>HYPERLINK("https://www.youtube.com/watch?v=uUfq1WJW7Xs&amp;t=383s", "Go to time")</f>
        <v/>
      </c>
    </row>
    <row r="83">
      <c r="A83">
        <f>HYPERLINK("https://www.youtube.com/watch?v=ON1goZRwO9o", "Video")</f>
        <v/>
      </c>
      <c r="B83" t="inlineStr">
        <is>
          <t>3:49</t>
        </is>
      </c>
      <c r="C83" t="inlineStr">
        <is>
          <t>you can still drive but what you're</t>
        </is>
      </c>
      <c r="D83">
        <f>HYPERLINK("https://www.youtube.com/watch?v=ON1goZRwO9o&amp;t=229s", "Go to time")</f>
        <v/>
      </c>
    </row>
    <row r="84">
      <c r="A84">
        <f>HYPERLINK("https://www.youtube.com/watch?v=ON1goZRwO9o", "Video")</f>
        <v/>
      </c>
      <c r="B84" t="inlineStr">
        <is>
          <t>3:58</t>
        </is>
      </c>
      <c r="C84" t="inlineStr">
        <is>
          <t>it's one thing to just drive down and</t>
        </is>
      </c>
      <c r="D84">
        <f>HYPERLINK("https://www.youtube.com/watch?v=ON1goZRwO9o&amp;t=238s", "Go to time")</f>
        <v/>
      </c>
    </row>
    <row r="85">
      <c r="A85">
        <f>HYPERLINK("https://www.youtube.com/watch?v=ON1goZRwO9o", "Video")</f>
        <v/>
      </c>
      <c r="B85" t="inlineStr">
        <is>
          <t>4:01</t>
        </is>
      </c>
      <c r="C85" t="inlineStr">
        <is>
          <t>to drive um in the suburbs when someone</t>
        </is>
      </c>
      <c r="D85">
        <f>HYPERLINK("https://www.youtube.com/watch?v=ON1goZRwO9o&amp;t=241s", "Go to time")</f>
        <v/>
      </c>
    </row>
    <row r="86">
      <c r="A86">
        <f>HYPERLINK("https://www.youtube.com/watch?v=ON1goZRwO9o", "Video")</f>
        <v/>
      </c>
      <c r="B86" t="inlineStr">
        <is>
          <t>4:04</t>
        </is>
      </c>
      <c r="C86" t="inlineStr">
        <is>
          <t>might be pulling out of their driveway</t>
        </is>
      </c>
      <c r="D86">
        <f>HYPERLINK("https://www.youtube.com/watch?v=ON1goZRwO9o&amp;t=244s", "Go to time")</f>
        <v/>
      </c>
    </row>
    <row r="87">
      <c r="A87">
        <f>HYPERLINK("https://www.youtube.com/watch?v=76ma3D0iNJ8", "Video")</f>
        <v/>
      </c>
      <c r="B87" t="inlineStr">
        <is>
          <t>0:25</t>
        </is>
      </c>
      <c r="C87" t="inlineStr">
        <is>
          <t>That order is all driven by
forces that are not visible.</t>
        </is>
      </c>
      <c r="D87">
        <f>HYPERLINK("https://www.youtube.com/watch?v=76ma3D0iNJ8&amp;t=25s", "Go to time")</f>
        <v/>
      </c>
    </row>
    <row r="88">
      <c r="A88">
        <f>HYPERLINK("https://www.youtube.com/watch?v=76ma3D0iNJ8", "Video")</f>
        <v/>
      </c>
      <c r="B88" t="inlineStr">
        <is>
          <t>4:47</t>
        </is>
      </c>
      <c r="C88" t="inlineStr">
        <is>
          <t>matching taxi drivers to customers.</t>
        </is>
      </c>
      <c r="D88">
        <f>HYPERLINK("https://www.youtube.com/watch?v=76ma3D0iNJ8&amp;t=287s", "Go to time")</f>
        <v/>
      </c>
    </row>
    <row r="89">
      <c r="A89">
        <f>HYPERLINK("https://www.youtube.com/watch?v=76ma3D0iNJ8", "Video")</f>
        <v/>
      </c>
      <c r="B89" t="inlineStr">
        <is>
          <t>5:06</t>
        </is>
      </c>
      <c r="C89" t="inlineStr">
        <is>
          <t>and he calls that taxi driver
and sends it to your home.</t>
        </is>
      </c>
      <c r="D89">
        <f>HYPERLINK("https://www.youtube.com/watch?v=76ma3D0iNJ8&amp;t=306s", "Go to time")</f>
        <v/>
      </c>
    </row>
    <row r="90">
      <c r="A90">
        <f>HYPERLINK("https://www.youtube.com/watch?v=tGxyKLsZIGU", "Video")</f>
        <v/>
      </c>
      <c r="B90" t="inlineStr">
        <is>
          <t>5:27</t>
        </is>
      </c>
      <c r="C90" t="inlineStr">
        <is>
          <t>strong economic driver of growth in</t>
        </is>
      </c>
      <c r="D90">
        <f>HYPERLINK("https://www.youtube.com/watch?v=tGxyKLsZIGU&amp;t=327s", "Go to time")</f>
        <v/>
      </c>
    </row>
    <row r="91">
      <c r="A91">
        <f>HYPERLINK("https://www.youtube.com/watch?v=LbofwUoB8CU", "Video")</f>
        <v/>
      </c>
      <c r="B91" t="inlineStr">
        <is>
          <t>0:09</t>
        </is>
      </c>
      <c r="C91" t="inlineStr">
        <is>
          <t>love uh one is the sex drive uh the</t>
        </is>
      </c>
      <c r="D91">
        <f>HYPERLINK("https://www.youtube.com/watch?v=LbofwUoB8CU&amp;t=9s", "Go to time")</f>
        <v/>
      </c>
    </row>
    <row r="92">
      <c r="A92">
        <f>HYPERLINK("https://www.youtube.com/watch?v=LbofwUoB8CU", "Video")</f>
        <v/>
      </c>
      <c r="B92" t="inlineStr">
        <is>
          <t>1:26</t>
        </is>
      </c>
      <c r="C92" t="inlineStr">
        <is>
          <t>drive everybody's always wondered what</t>
        </is>
      </c>
      <c r="D92">
        <f>HYPERLINK("https://www.youtube.com/watch?v=LbofwUoB8CU&amp;t=86s", "Go to time")</f>
        <v/>
      </c>
    </row>
    <row r="93">
      <c r="A93">
        <f>HYPERLINK("https://www.youtube.com/watch?v=LbofwUoB8CU", "Video")</f>
        <v/>
      </c>
      <c r="B93" t="inlineStr">
        <is>
          <t>7:31</t>
        </is>
      </c>
      <c r="C93" t="inlineStr">
        <is>
          <t>um the drive to love it is a drive it's</t>
        </is>
      </c>
      <c r="D93">
        <f>HYPERLINK("https://www.youtube.com/watch?v=LbofwUoB8CU&amp;t=451s", "Go to time")</f>
        <v/>
      </c>
    </row>
    <row r="94">
      <c r="A94">
        <f>HYPERLINK("https://www.youtube.com/watch?v=PuAwied4x2Q", "Video")</f>
        <v/>
      </c>
      <c r="B94" t="inlineStr">
        <is>
          <t>8:52</t>
        </is>
      </c>
      <c r="C94" t="inlineStr">
        <is>
          <t>to build star drives that
allow us to explore the stars</t>
        </is>
      </c>
      <c r="D94">
        <f>HYPERLINK("https://www.youtube.com/watch?v=PuAwied4x2Q&amp;t=532s", "Go to time")</f>
        <v/>
      </c>
    </row>
    <row r="95">
      <c r="A95">
        <f>HYPERLINK("https://www.youtube.com/watch?v=PuAwied4x2Q", "Video")</f>
        <v/>
      </c>
      <c r="B95" t="inlineStr">
        <is>
          <t>16:11</t>
        </is>
      </c>
      <c r="C95" t="inlineStr">
        <is>
          <t>When you drive a car
 down the road,</t>
        </is>
      </c>
      <c r="D95">
        <f>HYPERLINK("https://www.youtube.com/watch?v=PuAwied4x2Q&amp;t=971s", "Go to time")</f>
        <v/>
      </c>
    </row>
    <row r="96">
      <c r="A96">
        <f>HYPERLINK("https://www.youtube.com/watch?v=PuAwied4x2Q", "Video")</f>
        <v/>
      </c>
      <c r="B96" t="inlineStr">
        <is>
          <t>21:30</t>
        </is>
      </c>
      <c r="C96" t="inlineStr">
        <is>
          <t>with folks in the future in a
way that will actually drive</t>
        </is>
      </c>
      <c r="D96">
        <f>HYPERLINK("https://www.youtube.com/watch?v=PuAwied4x2Q&amp;t=1290s", "Go to time")</f>
        <v/>
      </c>
    </row>
    <row r="97">
      <c r="A97">
        <f>HYPERLINK("https://www.youtube.com/watch?v=PuAwied4x2Q", "Video")</f>
        <v/>
      </c>
      <c r="B97" t="inlineStr">
        <is>
          <t>22:44</t>
        </is>
      </c>
      <c r="C97" t="inlineStr">
        <is>
          <t>The official future of
today is mostly driven</t>
        </is>
      </c>
      <c r="D97">
        <f>HYPERLINK("https://www.youtube.com/watch?v=PuAwied4x2Q&amp;t=1364s", "Go to time")</f>
        <v/>
      </c>
    </row>
    <row r="98">
      <c r="A98">
        <f>HYPERLINK("https://www.youtube.com/watch?v=m8OCNVeJMdo", "Video")</f>
        <v/>
      </c>
      <c r="B98" t="inlineStr">
        <is>
          <t>2:11</t>
        </is>
      </c>
      <c r="C98" t="inlineStr">
        <is>
          <t>that drive out longtime residents and</t>
        </is>
      </c>
      <c r="D98">
        <f>HYPERLINK("https://www.youtube.com/watch?v=m8OCNVeJMdo&amp;t=131s", "Go to time")</f>
        <v/>
      </c>
    </row>
    <row r="99">
      <c r="A99">
        <f>HYPERLINK("https://www.youtube.com/watch?v=tuhny-BrFPw", "Video")</f>
        <v/>
      </c>
      <c r="B99" t="inlineStr">
        <is>
          <t>2:42</t>
        </is>
      </c>
      <c r="C99" t="inlineStr">
        <is>
          <t>I'm not sure it's the money itself that will
drive that.</t>
        </is>
      </c>
      <c r="D99">
        <f>HYPERLINK("https://www.youtube.com/watch?v=tuhny-BrFPw&amp;t=162s", "Go to time")</f>
        <v/>
      </c>
    </row>
    <row r="100">
      <c r="A100">
        <f>HYPERLINK("https://www.youtube.com/watch?v=Kj6LvWYiBJA", "Video")</f>
        <v/>
      </c>
      <c r="B100" t="inlineStr">
        <is>
          <t>3:25</t>
        </is>
      </c>
      <c r="C100" t="inlineStr">
        <is>
          <t>is very goal-driven or very agentic.</t>
        </is>
      </c>
      <c r="D100">
        <f>HYPERLINK("https://www.youtube.com/watch?v=Kj6LvWYiBJA&amp;t=205s", "Go to time")</f>
        <v/>
      </c>
    </row>
    <row r="101">
      <c r="A101">
        <f>HYPERLINK("https://www.youtube.com/watch?v=H2j74HEwV58", "Video")</f>
        <v/>
      </c>
      <c r="B101" t="inlineStr">
        <is>
          <t>0:36</t>
        </is>
      </c>
      <c r="C101" t="inlineStr">
        <is>
          <t>For cancer, we've determined a number of carcinogens
things that will drive the development of</t>
        </is>
      </c>
      <c r="D101">
        <f>HYPERLINK("https://www.youtube.com/watch?v=H2j74HEwV58&amp;t=36s", "Go to time")</f>
        <v/>
      </c>
    </row>
    <row r="102">
      <c r="A102">
        <f>HYPERLINK("https://www.youtube.com/watch?v=c5Hun3ESTug", "Video")</f>
        <v/>
      </c>
      <c r="B102" t="inlineStr">
        <is>
          <t>1:43</t>
        </is>
      </c>
      <c r="C102" t="inlineStr">
        <is>
          <t>without the normal story Drive of of</t>
        </is>
      </c>
      <c r="D102">
        <f>HYPERLINK("https://www.youtube.com/watch?v=c5Hun3ESTug&amp;t=103s", "Go to time")</f>
        <v/>
      </c>
    </row>
    <row r="103">
      <c r="A103">
        <f>HYPERLINK("https://www.youtube.com/watch?v=_2q7iCzsB54", "Video")</f>
        <v/>
      </c>
      <c r="B103" t="inlineStr">
        <is>
          <t>4:31</t>
        </is>
      </c>
      <c r="C103" t="inlineStr">
        <is>
          <t>impact of the kinds of things we drive</t>
        </is>
      </c>
      <c r="D103">
        <f>HYPERLINK("https://www.youtube.com/watch?v=_2q7iCzsB54&amp;t=271s", "Go to time")</f>
        <v/>
      </c>
    </row>
    <row r="104">
      <c r="A104">
        <f>HYPERLINK("https://www.youtube.com/watch?v=u4cG58pryx4", "Video")</f>
        <v/>
      </c>
      <c r="B104" t="inlineStr">
        <is>
          <t>0:36</t>
        </is>
      </c>
      <c r="C104" t="inlineStr">
        <is>
          <t>when you are driven into it or as Yates</t>
        </is>
      </c>
      <c r="D104">
        <f>HYPERLINK("https://www.youtube.com/watch?v=u4cG58pryx4&amp;t=36s", "Go to time")</f>
        <v/>
      </c>
    </row>
    <row r="105">
      <c r="A105">
        <f>HYPERLINK("https://www.youtube.com/watch?v=VhZxtb3LVU4", "Video")</f>
        <v/>
      </c>
      <c r="B105" t="inlineStr">
        <is>
          <t>5:12</t>
        </is>
      </c>
      <c r="C105" t="inlineStr">
        <is>
          <t>people who are average and truck drivers</t>
        </is>
      </c>
      <c r="D105">
        <f>HYPERLINK("https://www.youtube.com/watch?v=VhZxtb3LVU4&amp;t=312s", "Go to time")</f>
        <v/>
      </c>
    </row>
    <row r="106">
      <c r="A106">
        <f>HYPERLINK("https://www.youtube.com/watch?v=VhZxtb3LVU4", "Video")</f>
        <v/>
      </c>
      <c r="B106" t="inlineStr">
        <is>
          <t>5:14</t>
        </is>
      </c>
      <c r="C106" t="inlineStr">
        <is>
          <t>and cab drivers they all hated it</t>
        </is>
      </c>
      <c r="D106">
        <f>HYPERLINK("https://www.youtube.com/watch?v=VhZxtb3LVU4&amp;t=314s", "Go to time")</f>
        <v/>
      </c>
    </row>
    <row r="107">
      <c r="A107">
        <f>HYPERLINK("https://www.youtube.com/watch?v=PFeEr2fnHjo", "Video")</f>
        <v/>
      </c>
      <c r="B107" t="inlineStr">
        <is>
          <t>1:05</t>
        </is>
      </c>
      <c r="C107" t="inlineStr">
        <is>
          <t>to to drive you want them to do it under</t>
        </is>
      </c>
      <c r="D107">
        <f>HYPERLINK("https://www.youtube.com/watch?v=PFeEr2fnHjo&amp;t=65s", "Go to time")</f>
        <v/>
      </c>
    </row>
    <row r="108">
      <c r="A108">
        <f>HYPERLINK("https://www.youtube.com/watch?v=W6IBFpVZIIE", "Video")</f>
        <v/>
      </c>
      <c r="B108" t="inlineStr">
        <is>
          <t>2:41</t>
        </is>
      </c>
      <c r="C108" t="inlineStr">
        <is>
          <t>That's really not the
main driver of it anymore,</t>
        </is>
      </c>
      <c r="D108">
        <f>HYPERLINK("https://www.youtube.com/watch?v=W6IBFpVZIIE&amp;t=161s", "Go to time")</f>
        <v/>
      </c>
    </row>
    <row r="109">
      <c r="A109">
        <f>HYPERLINK("https://www.youtube.com/watch?v=jU-U47lFomk", "Video")</f>
        <v/>
      </c>
      <c r="B109" t="inlineStr">
        <is>
          <t>18:49</t>
        </is>
      </c>
      <c r="C109" t="inlineStr">
        <is>
          <t>in Africa we're all driven by incentives</t>
        </is>
      </c>
      <c r="D109">
        <f>HYPERLINK("https://www.youtube.com/watch?v=jU-U47lFomk&amp;t=1129s", "Go to time")</f>
        <v/>
      </c>
    </row>
    <row r="110">
      <c r="A110">
        <f>HYPERLINK("https://www.youtube.com/watch?v=r1DMdeOTINA", "Video")</f>
        <v/>
      </c>
      <c r="B110" t="inlineStr">
        <is>
          <t>0:45</t>
        </is>
      </c>
      <c r="C110" t="inlineStr">
        <is>
          <t>driven by religious conviction, whether</t>
        </is>
      </c>
      <c r="D110">
        <f>HYPERLINK("https://www.youtube.com/watch?v=r1DMdeOTINA&amp;t=45s", "Go to time")</f>
        <v/>
      </c>
    </row>
    <row r="111">
      <c r="A111">
        <f>HYPERLINK("https://www.youtube.com/watch?v=VA5U8GTPTTA", "Video")</f>
        <v/>
      </c>
      <c r="B111" t="inlineStr">
        <is>
          <t>2:29</t>
        </is>
      </c>
      <c r="C111" t="inlineStr">
        <is>
          <t>the inner psyche that
drives a person to project</t>
        </is>
      </c>
      <c r="D111">
        <f>HYPERLINK("https://www.youtube.com/watch?v=VA5U8GTPTTA&amp;t=149s", "Go to time")</f>
        <v/>
      </c>
    </row>
    <row r="112">
      <c r="A112">
        <f>HYPERLINK("https://www.youtube.com/watch?v=ABbxTfCdtZo", "Video")</f>
        <v/>
      </c>
      <c r="B112" t="inlineStr">
        <is>
          <t>2:52</t>
        </is>
      </c>
      <c r="C112" t="inlineStr">
        <is>
          <t>up and still is he was a Driven Man and</t>
        </is>
      </c>
      <c r="D112">
        <f>HYPERLINK("https://www.youtube.com/watch?v=ABbxTfCdtZo&amp;t=172s", "Go to time")</f>
        <v/>
      </c>
    </row>
    <row r="113">
      <c r="A113">
        <f>HYPERLINK("https://www.youtube.com/watch?v=ABbxTfCdtZo", "Video")</f>
        <v/>
      </c>
      <c r="B113" t="inlineStr">
        <is>
          <t>2:58</t>
        </is>
      </c>
      <c r="C113" t="inlineStr">
        <is>
          <t>some of my drive and my</t>
        </is>
      </c>
      <c r="D113">
        <f>HYPERLINK("https://www.youtube.com/watch?v=ABbxTfCdtZo&amp;t=178s", "Go to time")</f>
        <v/>
      </c>
    </row>
    <row r="114">
      <c r="A114">
        <f>HYPERLINK("https://www.youtube.com/watch?v=wl2_hjs2dt8", "Video")</f>
        <v/>
      </c>
      <c r="B114" t="inlineStr">
        <is>
          <t>1:09</t>
        </is>
      </c>
      <c r="C114" t="inlineStr">
        <is>
          <t>evaluated doesn't work driver's</t>
        </is>
      </c>
      <c r="D114">
        <f>HYPERLINK("https://www.youtube.com/watch?v=wl2_hjs2dt8&amp;t=69s", "Go to time")</f>
        <v/>
      </c>
    </row>
    <row r="115">
      <c r="A115">
        <f>HYPERLINK("https://www.youtube.com/watch?v=wl2_hjs2dt8", "Video")</f>
        <v/>
      </c>
      <c r="B115" t="inlineStr">
        <is>
          <t>3:59</t>
        </is>
      </c>
      <c r="C115" t="inlineStr">
        <is>
          <t>graduated driver's licensing is a</t>
        </is>
      </c>
      <c r="D115">
        <f>HYPERLINK("https://www.youtube.com/watch?v=wl2_hjs2dt8&amp;t=239s", "Go to time")</f>
        <v/>
      </c>
    </row>
    <row r="116">
      <c r="A116">
        <f>HYPERLINK("https://www.youtube.com/watch?v=wl2_hjs2dt8", "Video")</f>
        <v/>
      </c>
      <c r="B116" t="inlineStr">
        <is>
          <t>4:59</t>
        </is>
      </c>
      <c r="C116" t="inlineStr">
        <is>
          <t>bunch of other kids and drive around</t>
        </is>
      </c>
      <c r="D116">
        <f>HYPERLINK("https://www.youtube.com/watch?v=wl2_hjs2dt8&amp;t=299s", "Go to time")</f>
        <v/>
      </c>
    </row>
    <row r="117">
      <c r="A117">
        <f>HYPERLINK("https://www.youtube.com/watch?v=wl2_hjs2dt8", "Video")</f>
        <v/>
      </c>
      <c r="B117" t="inlineStr">
        <is>
          <t>5:02</t>
        </is>
      </c>
      <c r="C117" t="inlineStr">
        <is>
          <t>so graduated driver's licensing sets</t>
        </is>
      </c>
      <c r="D117">
        <f>HYPERLINK("https://www.youtube.com/watch?v=wl2_hjs2dt8&amp;t=302s", "Go to time")</f>
        <v/>
      </c>
    </row>
    <row r="118">
      <c r="A118">
        <f>HYPERLINK("https://www.youtube.com/watch?v=wl2_hjs2dt8", "Video")</f>
        <v/>
      </c>
      <c r="B118" t="inlineStr">
        <is>
          <t>5:10</t>
        </is>
      </c>
      <c r="C118" t="inlineStr">
        <is>
          <t>kids can drive all right that has been</t>
        </is>
      </c>
      <c r="D118">
        <f>HYPERLINK("https://www.youtube.com/watch?v=wl2_hjs2dt8&amp;t=310s", "Go to time")</f>
        <v/>
      </c>
    </row>
    <row r="119">
      <c r="A119">
        <f>HYPERLINK("https://www.youtube.com/watch?v=wl2_hjs2dt8", "Video")</f>
        <v/>
      </c>
      <c r="B119" t="inlineStr">
        <is>
          <t>5:32</t>
        </is>
      </c>
      <c r="C119" t="inlineStr">
        <is>
          <t>license if they drive that way that has</t>
        </is>
      </c>
      <c r="D119">
        <f>HYPERLINK("https://www.youtube.com/watch?v=wl2_hjs2dt8&amp;t=332s", "Go to time")</f>
        <v/>
      </c>
    </row>
    <row r="120">
      <c r="A120">
        <f>HYPERLINK("https://www.youtube.com/watch?v=W1qa8xMjQEo", "Video")</f>
        <v/>
      </c>
      <c r="B120" t="inlineStr">
        <is>
          <t>2:35</t>
        </is>
      </c>
      <c r="C120" t="inlineStr">
        <is>
          <t>bars are open till 4: you don't drive</t>
        </is>
      </c>
      <c r="D120">
        <f>HYPERLINK("https://www.youtube.com/watch?v=W1qa8xMjQEo&amp;t=155s", "Go to time")</f>
        <v/>
      </c>
    </row>
    <row r="121">
      <c r="A121">
        <f>HYPERLINK("https://www.youtube.com/watch?v=LwrORQHO18Y", "Video")</f>
        <v/>
      </c>
      <c r="B121" t="inlineStr">
        <is>
          <t>1:17</t>
        </is>
      </c>
      <c r="C121" t="inlineStr">
        <is>
          <t>drive on I'm not going to take it out on</t>
        </is>
      </c>
      <c r="D121">
        <f>HYPERLINK("https://www.youtube.com/watch?v=LwrORQHO18Y&amp;t=77s", "Go to time")</f>
        <v/>
      </c>
    </row>
    <row r="122">
      <c r="A122">
        <f>HYPERLINK("https://www.youtube.com/watch?v=ZzUbAv_Sh0c", "Video")</f>
        <v/>
      </c>
      <c r="B122" t="inlineStr">
        <is>
          <t>0:40</t>
        </is>
      </c>
      <c r="C122" t="inlineStr">
        <is>
          <t>A lot of people think that
sex drive, romantic love,</t>
        </is>
      </c>
      <c r="D122">
        <f>HYPERLINK("https://www.youtube.com/watch?v=ZzUbAv_Sh0c&amp;t=40s", "Go to time")</f>
        <v/>
      </c>
    </row>
    <row r="123">
      <c r="A123">
        <f>HYPERLINK("https://www.youtube.com/watch?v=ZzUbAv_Sh0c", "Video")</f>
        <v/>
      </c>
      <c r="B123" t="inlineStr">
        <is>
          <t>2:01</t>
        </is>
      </c>
      <c r="C123" t="inlineStr">
        <is>
          <t>sex drive being one,</t>
        </is>
      </c>
      <c r="D123">
        <f>HYPERLINK("https://www.youtube.com/watch?v=ZzUbAv_Sh0c&amp;t=121s", "Go to time")</f>
        <v/>
      </c>
    </row>
    <row r="124">
      <c r="A124">
        <f>HYPERLINK("https://www.youtube.com/watch?v=ZzUbAv_Sh0c", "Video")</f>
        <v/>
      </c>
      <c r="B124" t="inlineStr">
        <is>
          <t>2:13</t>
        </is>
      </c>
      <c r="C124" t="inlineStr">
        <is>
          <t>Sex drive evolved to get you out there</t>
        </is>
      </c>
      <c r="D124">
        <f>HYPERLINK("https://www.youtube.com/watch?v=ZzUbAv_Sh0c&amp;t=133s", "Go to time")</f>
        <v/>
      </c>
    </row>
    <row r="125">
      <c r="A125">
        <f>HYPERLINK("https://www.youtube.com/watch?v=ZzUbAv_Sh0c", "Video")</f>
        <v/>
      </c>
      <c r="B125" t="inlineStr">
        <is>
          <t>6:14</t>
        </is>
      </c>
      <c r="C125" t="inlineStr">
        <is>
          <t>linked with the sex drive,</t>
        </is>
      </c>
      <c r="D125">
        <f>HYPERLINK("https://www.youtube.com/watch?v=ZzUbAv_Sh0c&amp;t=374s", "Go to time")</f>
        <v/>
      </c>
    </row>
    <row r="126">
      <c r="A126">
        <f>HYPERLINK("https://www.youtube.com/watch?v=ZzUbAv_Sh0c", "Video")</f>
        <v/>
      </c>
      <c r="B126" t="inlineStr">
        <is>
          <t>6:39</t>
        </is>
      </c>
      <c r="C126" t="inlineStr">
        <is>
          <t>Sex drive, romantic love,
and feelings of attachment:</t>
        </is>
      </c>
      <c r="D126">
        <f>HYPERLINK("https://www.youtube.com/watch?v=ZzUbAv_Sh0c&amp;t=399s", "Go to time")</f>
        <v/>
      </c>
    </row>
    <row r="127">
      <c r="A127">
        <f>HYPERLINK("https://www.youtube.com/watch?v=ZzUbAv_Sh0c", "Video")</f>
        <v/>
      </c>
      <c r="B127" t="inlineStr">
        <is>
          <t>6:49</t>
        </is>
      </c>
      <c r="C127" t="inlineStr">
        <is>
          <t>That drives up the testosterone system,</t>
        </is>
      </c>
      <c r="D127">
        <f>HYPERLINK("https://www.youtube.com/watch?v=ZzUbAv_Sh0c&amp;t=409s", "Go to time")</f>
        <v/>
      </c>
    </row>
    <row r="128">
      <c r="A128">
        <f>HYPERLINK("https://www.youtube.com/watch?v=ZzUbAv_Sh0c", "Video")</f>
        <v/>
      </c>
      <c r="B128" t="inlineStr">
        <is>
          <t>7:26</t>
        </is>
      </c>
      <c r="C128" t="inlineStr">
        <is>
          <t>drives up the oxytocin system.</t>
        </is>
      </c>
      <c r="D128">
        <f>HYPERLINK("https://www.youtube.com/watch?v=ZzUbAv_Sh0c&amp;t=446s", "Go to time")</f>
        <v/>
      </c>
    </row>
    <row r="129">
      <c r="A129">
        <f>HYPERLINK("https://www.youtube.com/watch?v=HZfdp1UHakI", "Video")</f>
        <v/>
      </c>
      <c r="B129" t="inlineStr">
        <is>
          <t>0:16</t>
        </is>
      </c>
      <c r="C129" t="inlineStr">
        <is>
          <t>politics is too list driven and one of</t>
        </is>
      </c>
      <c r="D129">
        <f>HYPERLINK("https://www.youtube.com/watch?v=HZfdp1UHakI&amp;t=16s", "Go to time")</f>
        <v/>
      </c>
    </row>
    <row r="130">
      <c r="A130">
        <f>HYPERLINK("https://www.youtube.com/watch?v=iJFIzE3i0X0", "Video")</f>
        <v/>
      </c>
      <c r="B130" t="inlineStr">
        <is>
          <t>0:36</t>
        </is>
      </c>
      <c r="C130" t="inlineStr">
        <is>
          <t>and dynamic creative thinking drives us</t>
        </is>
      </c>
      <c r="D130">
        <f>HYPERLINK("https://www.youtube.com/watch?v=iJFIzE3i0X0&amp;t=36s", "Go to time")</f>
        <v/>
      </c>
    </row>
    <row r="131">
      <c r="A131">
        <f>HYPERLINK("https://www.youtube.com/watch?v=iJFIzE3i0X0", "Video")</f>
        <v/>
      </c>
      <c r="B131" t="inlineStr">
        <is>
          <t>3:30</t>
        </is>
      </c>
      <c r="C131" t="inlineStr">
        <is>
          <t>or drives a person to take
the actions that they take.</t>
        </is>
      </c>
      <c r="D131">
        <f>HYPERLINK("https://www.youtube.com/watch?v=iJFIzE3i0X0&amp;t=210s", "Go to time")</f>
        <v/>
      </c>
    </row>
    <row r="132">
      <c r="A132">
        <f>HYPERLINK("https://www.youtube.com/watch?v=iJFIzE3i0X0", "Video")</f>
        <v/>
      </c>
      <c r="B132" t="inlineStr">
        <is>
          <t>3:33</t>
        </is>
      </c>
      <c r="C132" t="inlineStr">
        <is>
          <t>Someone who's driven by reward</t>
        </is>
      </c>
      <c r="D132">
        <f>HYPERLINK("https://www.youtube.com/watch?v=iJFIzE3i0X0&amp;t=213s", "Go to time")</f>
        <v/>
      </c>
    </row>
    <row r="133">
      <c r="A133">
        <f>HYPERLINK("https://www.youtube.com/watch?v=iJFIzE3i0X0", "Video")</f>
        <v/>
      </c>
      <c r="B133" t="inlineStr">
        <is>
          <t>12:11</t>
        </is>
      </c>
      <c r="C133" t="inlineStr">
        <is>
          <t>So whether you're screwing
in a screw with a screwdriver</t>
        </is>
      </c>
      <c r="D133">
        <f>HYPERLINK("https://www.youtube.com/watch?v=iJFIzE3i0X0&amp;t=731s", "Go to time")</f>
        <v/>
      </c>
    </row>
    <row r="134">
      <c r="A134">
        <f>HYPERLINK("https://www.youtube.com/watch?v=iJFIzE3i0X0", "Video")</f>
        <v/>
      </c>
      <c r="B134" t="inlineStr">
        <is>
          <t>12:16</t>
        </is>
      </c>
      <c r="C134" t="inlineStr">
        <is>
          <t>the truth is that the screwdriver</t>
        </is>
      </c>
      <c r="D134">
        <f>HYPERLINK("https://www.youtube.com/watch?v=iJFIzE3i0X0&amp;t=736s", "Go to time")</f>
        <v/>
      </c>
    </row>
    <row r="135">
      <c r="A135">
        <f>HYPERLINK("https://www.youtube.com/watch?v=bZ4sq9liNCE", "Video")</f>
        <v/>
      </c>
      <c r="B135" t="inlineStr">
        <is>
          <t>0:19</t>
        </is>
      </c>
      <c r="C135" t="inlineStr">
        <is>
          <t>We have this incredible
drive in our culture</t>
        </is>
      </c>
      <c r="D135">
        <f>HYPERLINK("https://www.youtube.com/watch?v=bZ4sq9liNCE&amp;t=19s", "Go to time")</f>
        <v/>
      </c>
    </row>
    <row r="136">
      <c r="A136">
        <f>HYPERLINK("https://www.youtube.com/watch?v=_QJ3M8M_RU8", "Video")</f>
        <v/>
      </c>
      <c r="B136" t="inlineStr">
        <is>
          <t>0:00</t>
        </is>
      </c>
      <c r="C136" t="inlineStr">
        <is>
          <t>A lot of people think that
sex drive, romantic love,</t>
        </is>
      </c>
      <c r="D136">
        <f>HYPERLINK("https://www.youtube.com/watch?v=_QJ3M8M_RU8&amp;t=0s", "Go to time")</f>
        <v/>
      </c>
    </row>
    <row r="137">
      <c r="A137">
        <f>HYPERLINK("https://www.youtube.com/watch?v=_QJ3M8M_RU8", "Video")</f>
        <v/>
      </c>
      <c r="B137" t="inlineStr">
        <is>
          <t>0:41</t>
        </is>
      </c>
      <c r="C137" t="inlineStr">
        <is>
          <t>Sex drive, romantic love,
and feelings of attachment:</t>
        </is>
      </c>
      <c r="D137">
        <f>HYPERLINK("https://www.youtube.com/watch?v=_QJ3M8M_RU8&amp;t=41s", "Go to time")</f>
        <v/>
      </c>
    </row>
    <row r="138">
      <c r="A138">
        <f>HYPERLINK("https://www.youtube.com/watch?v=_QJ3M8M_RU8", "Video")</f>
        <v/>
      </c>
      <c r="B138" t="inlineStr">
        <is>
          <t>3:09</t>
        </is>
      </c>
      <c r="C138" t="inlineStr">
        <is>
          <t>A lot of people think that
sex drive, romantic love,</t>
        </is>
      </c>
      <c r="D138">
        <f>HYPERLINK("https://www.youtube.com/watch?v=_QJ3M8M_RU8&amp;t=189s", "Go to time")</f>
        <v/>
      </c>
    </row>
    <row r="139">
      <c r="A139">
        <f>HYPERLINK("https://www.youtube.com/watch?v=_QJ3M8M_RU8", "Video")</f>
        <v/>
      </c>
      <c r="B139" t="inlineStr">
        <is>
          <t>4:22</t>
        </is>
      </c>
      <c r="C139" t="inlineStr">
        <is>
          <t>sex drive being one,</t>
        </is>
      </c>
      <c r="D139">
        <f>HYPERLINK("https://www.youtube.com/watch?v=_QJ3M8M_RU8&amp;t=262s", "Go to time")</f>
        <v/>
      </c>
    </row>
    <row r="140">
      <c r="A140">
        <f>HYPERLINK("https://www.youtube.com/watch?v=_QJ3M8M_RU8", "Video")</f>
        <v/>
      </c>
      <c r="B140" t="inlineStr">
        <is>
          <t>4:34</t>
        </is>
      </c>
      <c r="C140" t="inlineStr">
        <is>
          <t>Sex drive evolved to get you out there</t>
        </is>
      </c>
      <c r="D140">
        <f>HYPERLINK("https://www.youtube.com/watch?v=_QJ3M8M_RU8&amp;t=274s", "Go to time")</f>
        <v/>
      </c>
    </row>
    <row r="141">
      <c r="A141">
        <f>HYPERLINK("https://www.youtube.com/watch?v=_QJ3M8M_RU8", "Video")</f>
        <v/>
      </c>
      <c r="B141" t="inlineStr">
        <is>
          <t>8:35</t>
        </is>
      </c>
      <c r="C141" t="inlineStr">
        <is>
          <t>linked with the sex drive,</t>
        </is>
      </c>
      <c r="D141">
        <f>HYPERLINK("https://www.youtube.com/watch?v=_QJ3M8M_RU8&amp;t=515s", "Go to time")</f>
        <v/>
      </c>
    </row>
    <row r="142">
      <c r="A142">
        <f>HYPERLINK("https://www.youtube.com/watch?v=_QJ3M8M_RU8", "Video")</f>
        <v/>
      </c>
      <c r="B142" t="inlineStr">
        <is>
          <t>9:00</t>
        </is>
      </c>
      <c r="C142" t="inlineStr">
        <is>
          <t>Sex drive, romantic love,
and feelings of attachment:</t>
        </is>
      </c>
      <c r="D142">
        <f>HYPERLINK("https://www.youtube.com/watch?v=_QJ3M8M_RU8&amp;t=540s", "Go to time")</f>
        <v/>
      </c>
    </row>
    <row r="143">
      <c r="A143">
        <f>HYPERLINK("https://www.youtube.com/watch?v=_QJ3M8M_RU8", "Video")</f>
        <v/>
      </c>
      <c r="B143" t="inlineStr">
        <is>
          <t>9:10</t>
        </is>
      </c>
      <c r="C143" t="inlineStr">
        <is>
          <t>That drives up the testosterone system,</t>
        </is>
      </c>
      <c r="D143">
        <f>HYPERLINK("https://www.youtube.com/watch?v=_QJ3M8M_RU8&amp;t=550s", "Go to time")</f>
        <v/>
      </c>
    </row>
    <row r="144">
      <c r="A144">
        <f>HYPERLINK("https://www.youtube.com/watch?v=_QJ3M8M_RU8", "Video")</f>
        <v/>
      </c>
      <c r="B144" t="inlineStr">
        <is>
          <t>9:47</t>
        </is>
      </c>
      <c r="C144" t="inlineStr">
        <is>
          <t>drives up the oxytocin system.</t>
        </is>
      </c>
      <c r="D144">
        <f>HYPERLINK("https://www.youtube.com/watch?v=_QJ3M8M_RU8&amp;t=587s", "Go to time")</f>
        <v/>
      </c>
    </row>
    <row r="145">
      <c r="A145">
        <f>HYPERLINK("https://www.youtube.com/watch?v=XnHCEFORVYA", "Video")</f>
        <v/>
      </c>
      <c r="B145" t="inlineStr">
        <is>
          <t>0:37</t>
        </is>
      </c>
      <c r="C145" t="inlineStr">
        <is>
          <t>workers, the fast food workers, the truck
drivers, and then even bookkeepers, accountants,</t>
        </is>
      </c>
      <c r="D145">
        <f>HYPERLINK("https://www.youtube.com/watch?v=XnHCEFORVYA&amp;t=37s", "Go to time")</f>
        <v/>
      </c>
    </row>
    <row r="146">
      <c r="A146">
        <f>HYPERLINK("https://www.youtube.com/watch?v=XnHCEFORVYA", "Video")</f>
        <v/>
      </c>
      <c r="B146" t="inlineStr">
        <is>
          <t>1:15</t>
        </is>
      </c>
      <c r="C146" t="inlineStr">
        <is>
          <t>Being a truck driver is the most common job
in 29 states.</t>
        </is>
      </c>
      <c r="D146">
        <f>HYPERLINK("https://www.youtube.com/watch?v=XnHCEFORVYA&amp;t=75s", "Go to time")</f>
        <v/>
      </c>
    </row>
    <row r="147">
      <c r="A147">
        <f>HYPERLINK("https://www.youtube.com/watch?v=XnHCEFORVYA", "Video")</f>
        <v/>
      </c>
      <c r="B147" t="inlineStr">
        <is>
          <t>1:19</t>
        </is>
      </c>
      <c r="C147" t="inlineStr">
        <is>
          <t>There are 3 and 1/2 million truck drivers
in this country, average age 49, 94% male,</t>
        </is>
      </c>
      <c r="D147">
        <f>HYPERLINK("https://www.youtube.com/watch?v=XnHCEFORVYA&amp;t=79s", "Go to time")</f>
        <v/>
      </c>
    </row>
    <row r="148">
      <c r="A148">
        <f>HYPERLINK("https://www.youtube.com/watch?v=XnHCEFORVYA", "Video")</f>
        <v/>
      </c>
      <c r="B148" t="inlineStr">
        <is>
          <t>1:48</t>
        </is>
      </c>
      <c r="C148" t="inlineStr">
        <is>
          <t>incentives for automating away truck drivers.</t>
        </is>
      </c>
      <c r="D148">
        <f>HYPERLINK("https://www.youtube.com/watch?v=XnHCEFORVYA&amp;t=108s", "Go to time")</f>
        <v/>
      </c>
    </row>
    <row r="149">
      <c r="A149">
        <f>HYPERLINK("https://www.youtube.com/watch?v=XnHCEFORVYA", "Video")</f>
        <v/>
      </c>
      <c r="B149" t="inlineStr">
        <is>
          <t>1:53</t>
        </is>
      </c>
      <c r="C149" t="inlineStr">
        <is>
          <t>That's also equipment utilization because
a truck never needs to stop whereas human-driven</t>
        </is>
      </c>
      <c r="D149">
        <f>HYPERLINK("https://www.youtube.com/watch?v=XnHCEFORVYA&amp;t=113s", "Go to time")</f>
        <v/>
      </c>
    </row>
    <row r="150">
      <c r="A150">
        <f>HYPERLINK("https://www.youtube.com/watch?v=XnHCEFORVYA", "Video")</f>
        <v/>
      </c>
      <c r="B150" t="inlineStr">
        <is>
          <t>2:09</t>
        </is>
      </c>
      <c r="C150" t="inlineStr">
        <is>
          <t>because truck drivers right now kill about
4,000 other motorists a year in accidents</t>
        </is>
      </c>
      <c r="D150">
        <f>HYPERLINK("https://www.youtube.com/watch?v=XnHCEFORVYA&amp;t=129s", "Go to time")</f>
        <v/>
      </c>
    </row>
    <row r="151">
      <c r="A151">
        <f>HYPERLINK("https://www.youtube.com/watch?v=bCXjMqLC8DI", "Video")</f>
        <v/>
      </c>
      <c r="B151" t="inlineStr">
        <is>
          <t>1:59</t>
        </is>
      </c>
      <c r="C151" t="inlineStr">
        <is>
          <t>and Drive journalists and and and I hope</t>
        </is>
      </c>
      <c r="D151">
        <f>HYPERLINK("https://www.youtube.com/watch?v=bCXjMqLC8DI&amp;t=119s", "Go to time")</f>
        <v/>
      </c>
    </row>
    <row r="152">
      <c r="A152">
        <f>HYPERLINK("https://www.youtube.com/watch?v=Tt5xNKojMvk", "Video")</f>
        <v/>
      </c>
      <c r="B152" t="inlineStr">
        <is>
          <t>6:07</t>
        </is>
      </c>
      <c r="C152" t="inlineStr">
        <is>
          <t>And a coffee cup makes
a terrible screwdriver.</t>
        </is>
      </c>
      <c r="D152">
        <f>HYPERLINK("https://www.youtube.com/watch?v=Tt5xNKojMvk&amp;t=367s", "Go to time")</f>
        <v/>
      </c>
    </row>
    <row r="153">
      <c r="A153">
        <f>HYPERLINK("https://www.youtube.com/watch?v=Tt5xNKojMvk", "Video")</f>
        <v/>
      </c>
      <c r="B153" t="inlineStr">
        <is>
          <t>6:17</t>
        </is>
      </c>
      <c r="C153" t="inlineStr">
        <is>
          <t>but it has no value as a screwdriver-</t>
        </is>
      </c>
      <c r="D153">
        <f>HYPERLINK("https://www.youtube.com/watch?v=Tt5xNKojMvk&amp;t=377s", "Go to time")</f>
        <v/>
      </c>
    </row>
    <row r="154">
      <c r="A154">
        <f>HYPERLINK("https://www.youtube.com/watch?v=jOyAndLa5HU", "Video")</f>
        <v/>
      </c>
      <c r="B154" t="inlineStr">
        <is>
          <t>6:46</t>
        </is>
      </c>
      <c r="C154" t="inlineStr">
        <is>
          <t>I just had to count on my own narcissism to
drive it.</t>
        </is>
      </c>
      <c r="D154">
        <f>HYPERLINK("https://www.youtube.com/watch?v=jOyAndLa5HU&amp;t=406s", "Go to time")</f>
        <v/>
      </c>
    </row>
    <row r="155">
      <c r="A155">
        <f>HYPERLINK("https://www.youtube.com/watch?v=jOyAndLa5HU", "Video")</f>
        <v/>
      </c>
      <c r="B155" t="inlineStr">
        <is>
          <t>6:52</t>
        </is>
      </c>
      <c r="C155" t="inlineStr">
        <is>
          <t>And so I kind of used some of the traits to
drive it forward.</t>
        </is>
      </c>
      <c r="D155">
        <f>HYPERLINK("https://www.youtube.com/watch?v=jOyAndLa5HU&amp;t=412s", "Go to time")</f>
        <v/>
      </c>
    </row>
    <row r="156">
      <c r="A156">
        <f>HYPERLINK("https://www.youtube.com/watch?v=RgZ1X4Dok3Y", "Video")</f>
        <v/>
      </c>
      <c r="B156" t="inlineStr">
        <is>
          <t>0:43</t>
        </is>
      </c>
      <c r="C156" t="inlineStr">
        <is>
          <t>What are the factors that really drive</t>
        </is>
      </c>
      <c r="D156">
        <f>HYPERLINK("https://www.youtube.com/watch?v=RgZ1X4Dok3Y&amp;t=43s", "Go to time")</f>
        <v/>
      </c>
    </row>
    <row r="157">
      <c r="A157">
        <f>HYPERLINK("https://www.youtube.com/watch?v=RgZ1X4Dok3Y", "Video")</f>
        <v/>
      </c>
      <c r="B157" t="inlineStr">
        <is>
          <t>2:26</t>
        </is>
      </c>
      <c r="C157" t="inlineStr">
        <is>
          <t>and the multiple networks that
drive the value of our art.</t>
        </is>
      </c>
      <c r="D157">
        <f>HYPERLINK("https://www.youtube.com/watch?v=RgZ1X4Dok3Y&amp;t=146s", "Go to time")</f>
        <v/>
      </c>
    </row>
    <row r="158">
      <c r="A158">
        <f>HYPERLINK("https://www.youtube.com/watch?v=RgZ1X4Dok3Y", "Video")</f>
        <v/>
      </c>
      <c r="B158" t="inlineStr">
        <is>
          <t>4:47</t>
        </is>
      </c>
      <c r="C158" t="inlineStr">
        <is>
          <t>Artistic success is
driven by many factors.</t>
        </is>
      </c>
      <c r="D158">
        <f>HYPERLINK("https://www.youtube.com/watch?v=RgZ1X4Dok3Y&amp;t=287s", "Go to time")</f>
        <v/>
      </c>
    </row>
    <row r="159">
      <c r="A159">
        <f>HYPERLINK("https://www.youtube.com/watch?v=NDWS9q8e7wE", "Video")</f>
        <v/>
      </c>
      <c r="B159" t="inlineStr">
        <is>
          <t>8:21</t>
        </is>
      </c>
      <c r="C159" t="inlineStr">
        <is>
          <t>systematically in uh that way can drive</t>
        </is>
      </c>
      <c r="D159">
        <f>HYPERLINK("https://www.youtube.com/watch?v=NDWS9q8e7wE&amp;t=501s", "Go to time")</f>
        <v/>
      </c>
    </row>
    <row r="160">
      <c r="A160">
        <f>HYPERLINK("https://www.youtube.com/watch?v=wI3cXbIlA0g", "Video")</f>
        <v/>
      </c>
      <c r="B160" t="inlineStr">
        <is>
          <t>3:36</t>
        </is>
      </c>
      <c r="C160" t="inlineStr">
        <is>
          <t>Question: What is the main experiment that’s
driven this kind of free will?</t>
        </is>
      </c>
      <c r="D160">
        <f>HYPERLINK("https://www.youtube.com/watch?v=wI3cXbIlA0g&amp;t=216s", "Go to time")</f>
        <v/>
      </c>
    </row>
    <row r="161">
      <c r="A161">
        <f>HYPERLINK("https://www.youtube.com/watch?v=-rcQZxawdWk", "Video")</f>
        <v/>
      </c>
      <c r="B161" t="inlineStr">
        <is>
          <t>2:40</t>
        </is>
      </c>
      <c r="C161" t="inlineStr">
        <is>
          <t>got still Wall Street in the driver's seat
in the Obama administration when it comes</t>
        </is>
      </c>
      <c r="D161">
        <f>HYPERLINK("https://www.youtube.com/watch?v=-rcQZxawdWk&amp;t=160s", "Go to time")</f>
        <v/>
      </c>
    </row>
    <row r="162">
      <c r="A162">
        <f>HYPERLINK("https://www.youtube.com/watch?v=NY6rsYRhtNc", "Video")</f>
        <v/>
      </c>
      <c r="B162" t="inlineStr">
        <is>
          <t>0:48</t>
        </is>
      </c>
      <c r="C162" t="inlineStr">
        <is>
          <t>We have that drive-it's a heuristic.</t>
        </is>
      </c>
      <c r="D162">
        <f>HYPERLINK("https://www.youtube.com/watch?v=NY6rsYRhtNc&amp;t=48s", "Go to time")</f>
        <v/>
      </c>
    </row>
    <row r="163">
      <c r="A163">
        <f>HYPERLINK("https://www.youtube.com/watch?v=tpPFdFdfxxM", "Video")</f>
        <v/>
      </c>
      <c r="B163" t="inlineStr">
        <is>
          <t>15:40</t>
        </is>
      </c>
      <c r="C163" t="inlineStr">
        <is>
          <t>will drive greater tension</t>
        </is>
      </c>
      <c r="D163">
        <f>HYPERLINK("https://www.youtube.com/watch?v=tpPFdFdfxxM&amp;t=940s", "Go to time")</f>
        <v/>
      </c>
    </row>
    <row r="164">
      <c r="A164">
        <f>HYPERLINK("https://www.youtube.com/watch?v=tpPFdFdfxxM", "Video")</f>
        <v/>
      </c>
      <c r="B164" t="inlineStr">
        <is>
          <t>16:04</t>
        </is>
      </c>
      <c r="C164" t="inlineStr">
        <is>
          <t>drive productivity, drive efficiency,</t>
        </is>
      </c>
      <c r="D164">
        <f>HYPERLINK("https://www.youtube.com/watch?v=tpPFdFdfxxM&amp;t=964s", "Go to time")</f>
        <v/>
      </c>
    </row>
    <row r="165">
      <c r="A165">
        <f>HYPERLINK("https://www.youtube.com/watch?v=4PUd8pELTg8", "Video")</f>
        <v/>
      </c>
      <c r="B165" t="inlineStr">
        <is>
          <t>8:17</t>
        </is>
      </c>
      <c r="C165" t="inlineStr">
        <is>
          <t>is they drive us into a situation</t>
        </is>
      </c>
      <c r="D165">
        <f>HYPERLINK("https://www.youtube.com/watch?v=4PUd8pELTg8&amp;t=497s", "Go to time")</f>
        <v/>
      </c>
    </row>
    <row r="166">
      <c r="A166">
        <f>HYPERLINK("https://www.youtube.com/watch?v=3W8eKwwm9wI", "Video")</f>
        <v/>
      </c>
      <c r="B166" t="inlineStr">
        <is>
          <t>3:37</t>
        </is>
      </c>
      <c r="C166" t="inlineStr">
        <is>
          <t>American political history to drive the</t>
        </is>
      </c>
      <c r="D166">
        <f>HYPERLINK("https://www.youtube.com/watch?v=3W8eKwwm9wI&amp;t=217s", "Go to time")</f>
        <v/>
      </c>
    </row>
    <row r="167">
      <c r="A167">
        <f>HYPERLINK("https://www.youtube.com/watch?v=3W8eKwwm9wI", "Video")</f>
        <v/>
      </c>
      <c r="B167" t="inlineStr">
        <is>
          <t>3:40</t>
        </is>
      </c>
      <c r="C167" t="inlineStr">
        <is>
          <t>that drive that I realized that it's not</t>
        </is>
      </c>
      <c r="D167">
        <f>HYPERLINK("https://www.youtube.com/watch?v=3W8eKwwm9wI&amp;t=220s", "Go to time")</f>
        <v/>
      </c>
    </row>
    <row r="168">
      <c r="A168">
        <f>HYPERLINK("https://www.youtube.com/watch?v=QBA98jHWhoU", "Video")</f>
        <v/>
      </c>
      <c r="B168" t="inlineStr">
        <is>
          <t>80:03</t>
        </is>
      </c>
      <c r="C168" t="inlineStr">
        <is>
          <t>we just have to really let
the patient drive the bus</t>
        </is>
      </c>
      <c r="D168">
        <f>HYPERLINK("https://www.youtube.com/watch?v=QBA98jHWhoU&amp;t=4803s", "Go to time")</f>
        <v/>
      </c>
    </row>
    <row r="169">
      <c r="A169">
        <f>HYPERLINK("https://www.youtube.com/watch?v=clC8IzJVshY", "Video")</f>
        <v/>
      </c>
      <c r="B169" t="inlineStr">
        <is>
          <t>0:45</t>
        </is>
      </c>
      <c r="C169" t="inlineStr">
        <is>
          <t>purpose-driven Life it's really a</t>
        </is>
      </c>
      <c r="D169">
        <f>HYPERLINK("https://www.youtube.com/watch?v=clC8IzJVshY&amp;t=45s", "Go to time")</f>
        <v/>
      </c>
    </row>
    <row r="170">
      <c r="A170">
        <f>HYPERLINK("https://www.youtube.com/watch?v=sJs70b2fR3c", "Video")</f>
        <v/>
      </c>
      <c r="B170" t="inlineStr">
        <is>
          <t>1:56</t>
        </is>
      </c>
      <c r="C170" t="inlineStr">
        <is>
          <t>took off for a drive, lost control,</t>
        </is>
      </c>
      <c r="D170">
        <f>HYPERLINK("https://www.youtube.com/watch?v=sJs70b2fR3c&amp;t=116s", "Go to time")</f>
        <v/>
      </c>
    </row>
    <row r="171">
      <c r="A171">
        <f>HYPERLINK("https://www.youtube.com/watch?v=5Rk1ArxetMU", "Video")</f>
        <v/>
      </c>
      <c r="B171" t="inlineStr">
        <is>
          <t>9:33</t>
        </is>
      </c>
      <c r="C171" t="inlineStr">
        <is>
          <t>Sex drive and assertiveness</t>
        </is>
      </c>
      <c r="D171">
        <f>HYPERLINK("https://www.youtube.com/watch?v=5Rk1ArxetMU&amp;t=573s", "Go to time")</f>
        <v/>
      </c>
    </row>
    <row r="172">
      <c r="A172">
        <f>HYPERLINK("https://www.youtube.com/watch?v=lqe45YhCAp4", "Video")</f>
        <v/>
      </c>
      <c r="B172" t="inlineStr">
        <is>
          <t>2:33</t>
        </is>
      </c>
      <c r="C172" t="inlineStr">
        <is>
          <t>It's a little bit bigger than a thumb drive.</t>
        </is>
      </c>
      <c r="D172">
        <f>HYPERLINK("https://www.youtube.com/watch?v=lqe45YhCAp4&amp;t=153s", "Go to time")</f>
        <v/>
      </c>
    </row>
    <row r="173">
      <c r="A173">
        <f>HYPERLINK("https://www.youtube.com/watch?v=g9KRLZGysm8", "Video")</f>
        <v/>
      </c>
      <c r="B173" t="inlineStr">
        <is>
          <t>1:57</t>
        </is>
      </c>
      <c r="C173" t="inlineStr">
        <is>
          <t>goal there so you drive by these harbors</t>
        </is>
      </c>
      <c r="D173">
        <f>HYPERLINK("https://www.youtube.com/watch?v=g9KRLZGysm8&amp;t=117s", "Go to time")</f>
        <v/>
      </c>
    </row>
    <row r="174">
      <c r="A174">
        <f>HYPERLINK("https://www.youtube.com/watch?v=HZYuEQruesM", "Video")</f>
        <v/>
      </c>
      <c r="B174" t="inlineStr">
        <is>
          <t>1:16</t>
        </is>
      </c>
      <c r="C174" t="inlineStr">
        <is>
          <t>yourself so you get to drive forklifts</t>
        </is>
      </c>
      <c r="D174">
        <f>HYPERLINK("https://www.youtube.com/watch?v=HZYuEQruesM&amp;t=76s", "Go to time")</f>
        <v/>
      </c>
    </row>
    <row r="175">
      <c r="A175">
        <f>HYPERLINK("https://www.youtube.com/watch?v=OWhsVwVy9yg", "Video")</f>
        <v/>
      </c>
      <c r="B175" t="inlineStr">
        <is>
          <t>4:40</t>
        </is>
      </c>
      <c r="C175" t="inlineStr">
        <is>
          <t>say, creating the Uber economy or hiring people
to drive part time or the companies which</t>
        </is>
      </c>
      <c r="D175">
        <f>HYPERLINK("https://www.youtube.com/watch?v=OWhsVwVy9yg&amp;t=280s", "Go to time")</f>
        <v/>
      </c>
    </row>
    <row r="176">
      <c r="A176">
        <f>HYPERLINK("https://www.youtube.com/watch?v=GFnLZQfuVOQ", "Video")</f>
        <v/>
      </c>
      <c r="B176" t="inlineStr">
        <is>
          <t>0:55</t>
        </is>
      </c>
      <c r="C176" t="inlineStr">
        <is>
          <t>this media driven culture of ours an</t>
        </is>
      </c>
      <c r="D176">
        <f>HYPERLINK("https://www.youtube.com/watch?v=GFnLZQfuVOQ&amp;t=55s", "Go to time")</f>
        <v/>
      </c>
    </row>
    <row r="177">
      <c r="A177">
        <f>HYPERLINK("https://www.youtube.com/watch?v=7hOGfwt0ERk", "Video")</f>
        <v/>
      </c>
      <c r="B177" t="inlineStr">
        <is>
          <t>3:00</t>
        </is>
      </c>
      <c r="C177" t="inlineStr">
        <is>
          <t>engine that drives the entire universe</t>
        </is>
      </c>
      <c r="D177">
        <f>HYPERLINK("https://www.youtube.com/watch?v=7hOGfwt0ERk&amp;t=180s", "Go to time")</f>
        <v/>
      </c>
    </row>
    <row r="178">
      <c r="A178">
        <f>HYPERLINK("https://www.youtube.com/watch?v=AjnNYPtNa6A", "Video")</f>
        <v/>
      </c>
      <c r="B178" t="inlineStr">
        <is>
          <t>4:26</t>
        </is>
      </c>
      <c r="C178" t="inlineStr">
        <is>
          <t>hides in the bathroom, waits
for the bus to drive away,</t>
        </is>
      </c>
      <c r="D178">
        <f>HYPERLINK("https://www.youtube.com/watch?v=AjnNYPtNa6A&amp;t=266s", "Go to time")</f>
        <v/>
      </c>
    </row>
    <row r="179">
      <c r="A179">
        <f>HYPERLINK("https://www.youtube.com/watch?v=c_U_b0Tp4eo", "Video")</f>
        <v/>
      </c>
      <c r="B179" t="inlineStr">
        <is>
          <t>1:41</t>
        </is>
      </c>
      <c r="C179" t="inlineStr">
        <is>
          <t>making it expressedly to drive in the</t>
        </is>
      </c>
      <c r="D179">
        <f>HYPERLINK("https://www.youtube.com/watch?v=c_U_b0Tp4eo&amp;t=101s", "Go to time")</f>
        <v/>
      </c>
    </row>
    <row r="180">
      <c r="A180">
        <f>HYPERLINK("https://www.youtube.com/watch?v=0K6ZsFM6eIw", "Video")</f>
        <v/>
      </c>
      <c r="B180" t="inlineStr">
        <is>
          <t>4:11</t>
        </is>
      </c>
      <c r="C180" t="inlineStr">
        <is>
          <t>YOUNG: And so I think learning about the 
psychology that drives that experience for</t>
        </is>
      </c>
      <c r="D180">
        <f>HYPERLINK("https://www.youtube.com/watch?v=0K6ZsFM6eIw&amp;t=251s", "Go to time")</f>
        <v/>
      </c>
    </row>
    <row r="181">
      <c r="A181">
        <f>HYPERLINK("https://www.youtube.com/watch?v=wIRuMJj_igE", "Video")</f>
        <v/>
      </c>
      <c r="B181" t="inlineStr">
        <is>
          <t>0:15</t>
        </is>
      </c>
      <c r="C181" t="inlineStr">
        <is>
          <t>GDP is driven by service industries.</t>
        </is>
      </c>
      <c r="D181">
        <f>HYPERLINK("https://www.youtube.com/watch?v=wIRuMJj_igE&amp;t=15s", "Go to time")</f>
        <v/>
      </c>
    </row>
    <row r="182">
      <c r="A182">
        <f>HYPERLINK("https://www.youtube.com/watch?v=ubMghRYqk8o", "Video")</f>
        <v/>
      </c>
      <c r="B182" t="inlineStr">
        <is>
          <t>2:31</t>
        </is>
      </c>
      <c r="C182" t="inlineStr">
        <is>
          <t>first one, I had a very linear approach that was 
driven by traditional definitions of success. I</t>
        </is>
      </c>
      <c r="D182">
        <f>HYPERLINK("https://www.youtube.com/watch?v=ubMghRYqk8o&amp;t=151s", "Go to time")</f>
        <v/>
      </c>
    </row>
    <row r="183">
      <c r="A183">
        <f>HYPERLINK("https://www.youtube.com/watch?v=ubMghRYqk8o", "Video")</f>
        <v/>
      </c>
      <c r="B183" t="inlineStr">
        <is>
          <t>5:05</t>
        </is>
      </c>
      <c r="C183" t="inlineStr">
        <is>
          <t>want to go versus being on autopilot and having 
those mindsets subconsciously drive all of your</t>
        </is>
      </c>
      <c r="D183">
        <f>HYPERLINK("https://www.youtube.com/watch?v=ubMghRYqk8o&amp;t=305s", "Go to time")</f>
        <v/>
      </c>
    </row>
    <row r="184">
      <c r="A184">
        <f>HYPERLINK("https://www.youtube.com/watch?v=ubMghRYqk8o", "Video")</f>
        <v/>
      </c>
      <c r="B184" t="inlineStr">
        <is>
          <t>31:59</t>
        </is>
      </c>
      <c r="C184" t="inlineStr">
        <is>
          <t>do? Is that my decision?" We let our choices being 
driven by those stories that we have internalized,</t>
        </is>
      </c>
      <c r="D184">
        <f>HYPERLINK("https://www.youtube.com/watch?v=ubMghRYqk8o&amp;t=1919s", "Go to time")</f>
        <v/>
      </c>
    </row>
    <row r="185">
      <c r="A185">
        <f>HYPERLINK("https://www.youtube.com/watch?v=PYPzwy7zPDA", "Video")</f>
        <v/>
      </c>
      <c r="B185" t="inlineStr">
        <is>
          <t>0:39</t>
        </is>
      </c>
      <c r="C185" t="inlineStr">
        <is>
          <t>and does it fit with what Drive our</t>
        </is>
      </c>
      <c r="D185">
        <f>HYPERLINK("https://www.youtube.com/watch?v=PYPzwy7zPDA&amp;t=39s", "Go to time")</f>
        <v/>
      </c>
    </row>
    <row r="186">
      <c r="A186">
        <f>HYPERLINK("https://www.youtube.com/watch?v=hxt5lXTl0Bw", "Video")</f>
        <v/>
      </c>
      <c r="B186" t="inlineStr">
        <is>
          <t>0:59</t>
        </is>
      </c>
      <c r="C186" t="inlineStr">
        <is>
          <t>in 420 out of the 435 congressional districts.\'a0
That won't be done unless we drive over the</t>
        </is>
      </c>
      <c r="D186">
        <f>HYPERLINK("https://www.youtube.com/watch?v=hxt5lXTl0Bw&amp;t=59s", "Go to time")</f>
        <v/>
      </c>
    </row>
    <row r="187">
      <c r="A187">
        <f>HYPERLINK("https://www.youtube.com/watch?v=GNDWL_H6bKI", "Video")</f>
        <v/>
      </c>
      <c r="B187" t="inlineStr">
        <is>
          <t>4:54</t>
        </is>
      </c>
      <c r="C187" t="inlineStr">
        <is>
          <t>always driven me is the</t>
        </is>
      </c>
      <c r="D187">
        <f>HYPERLINK("https://www.youtube.com/watch?v=GNDWL_H6bKI&amp;t=294s", "Go to time")</f>
        <v/>
      </c>
    </row>
    <row r="188">
      <c r="A188">
        <f>HYPERLINK("https://www.youtube.com/watch?v=wlkD50I-r84", "Video")</f>
        <v/>
      </c>
      <c r="B188" t="inlineStr">
        <is>
          <t>1:14</t>
        </is>
      </c>
      <c r="C188" t="inlineStr">
        <is>
          <t>to have a drive to do something and if</t>
        </is>
      </c>
      <c r="D188">
        <f>HYPERLINK("https://www.youtube.com/watch?v=wlkD50I-r84&amp;t=74s", "Go to time")</f>
        <v/>
      </c>
    </row>
    <row r="189">
      <c r="A189">
        <f>HYPERLINK("https://www.youtube.com/watch?v=wlkD50I-r84", "Video")</f>
        <v/>
      </c>
      <c r="B189" t="inlineStr">
        <is>
          <t>1:16</t>
        </is>
      </c>
      <c r="C189" t="inlineStr">
        <is>
          <t>you have the drive to do something then</t>
        </is>
      </c>
      <c r="D189">
        <f>HYPERLINK("https://www.youtube.com/watch?v=wlkD50I-r84&amp;t=76s", "Go to time")</f>
        <v/>
      </c>
    </row>
    <row r="190">
      <c r="A190">
        <f>HYPERLINK("https://www.youtube.com/watch?v=j99i-_ajsJE", "Video")</f>
        <v/>
      </c>
      <c r="B190" t="inlineStr">
        <is>
          <t>6:54</t>
        </is>
      </c>
      <c r="C190" t="inlineStr">
        <is>
          <t>one another I me we couldn't drive</t>
        </is>
      </c>
      <c r="D190">
        <f>HYPERLINK("https://www.youtube.com/watch?v=j99i-_ajsJE&amp;t=414s", "Go to time")</f>
        <v/>
      </c>
    </row>
    <row r="191">
      <c r="A191">
        <f>HYPERLINK("https://www.youtube.com/watch?v=C72wVnXhO5Y", "Video")</f>
        <v/>
      </c>
      <c r="B191" t="inlineStr">
        <is>
          <t>8:23</t>
        </is>
      </c>
      <c r="C191" t="inlineStr">
        <is>
          <t>purpose-driven life that that that</t>
        </is>
      </c>
      <c r="D191">
        <f>HYPERLINK("https://www.youtube.com/watch?v=C72wVnXhO5Y&amp;t=503s", "Go to time")</f>
        <v/>
      </c>
    </row>
    <row r="192">
      <c r="A192">
        <f>HYPERLINK("https://www.youtube.com/watch?v=C72wVnXhO5Y", "Video")</f>
        <v/>
      </c>
      <c r="B192" t="inlineStr">
        <is>
          <t>11:31</t>
        </is>
      </c>
      <c r="C192" t="inlineStr">
        <is>
          <t>the version of The Purpose Driven Life</t>
        </is>
      </c>
      <c r="D192">
        <f>HYPERLINK("https://www.youtube.com/watch?v=C72wVnXhO5Y&amp;t=691s", "Go to time")</f>
        <v/>
      </c>
    </row>
    <row r="193">
      <c r="A193">
        <f>HYPERLINK("https://www.youtube.com/watch?v=C72wVnXhO5Y", "Video")</f>
        <v/>
      </c>
      <c r="B193" t="inlineStr">
        <is>
          <t>20:51</t>
        </is>
      </c>
      <c r="C193" t="inlineStr">
        <is>
          <t>drive along it and you will find mosques</t>
        </is>
      </c>
      <c r="D193">
        <f>HYPERLINK("https://www.youtube.com/watch?v=C72wVnXhO5Y&amp;t=1251s", "Go to time")</f>
        <v/>
      </c>
    </row>
    <row r="194">
      <c r="A194">
        <f>HYPERLINK("https://www.youtube.com/watch?v=C72wVnXhO5Y", "Video")</f>
        <v/>
      </c>
      <c r="B194" t="inlineStr">
        <is>
          <t>26:30</t>
        </is>
      </c>
      <c r="C194" t="inlineStr">
        <is>
          <t>think probably drive people back to back</t>
        </is>
      </c>
      <c r="D194">
        <f>HYPERLINK("https://www.youtube.com/watch?v=C72wVnXhO5Y&amp;t=1590s", "Go to time")</f>
        <v/>
      </c>
    </row>
    <row r="195">
      <c r="A195">
        <f>HYPERLINK("https://www.youtube.com/watch?v=keGslXjEJL0", "Video")</f>
        <v/>
      </c>
      <c r="B195" t="inlineStr">
        <is>
          <t>0:10</t>
        </is>
      </c>
      <c r="C195" t="inlineStr">
        <is>
          <t>uh Purpose Driven Life well the book uh</t>
        </is>
      </c>
      <c r="D195">
        <f>HYPERLINK("https://www.youtube.com/watch?v=keGslXjEJL0&amp;t=10s", "Go to time")</f>
        <v/>
      </c>
    </row>
    <row r="196">
      <c r="A196">
        <f>HYPERLINK("https://www.youtube.com/watch?v=-asOA1QMGtg", "Video")</f>
        <v/>
      </c>
      <c r="B196" t="inlineStr">
        <is>
          <t>1:55</t>
        </is>
      </c>
      <c r="C196" t="inlineStr">
        <is>
          <t>30 gigabytes, that's like
a solid size hard drive</t>
        </is>
      </c>
      <c r="D196">
        <f>HYPERLINK("https://www.youtube.com/watch?v=-asOA1QMGtg&amp;t=115s", "Go to time")</f>
        <v/>
      </c>
    </row>
    <row r="197">
      <c r="A197">
        <f>HYPERLINK("https://www.youtube.com/watch?v=-asOA1QMGtg", "Video")</f>
        <v/>
      </c>
      <c r="B197" t="inlineStr">
        <is>
          <t>52:36</t>
        </is>
      </c>
      <c r="C197" t="inlineStr">
        <is>
          <t>and just drive toward the final outcome.</t>
        </is>
      </c>
      <c r="D197">
        <f>HYPERLINK("https://www.youtube.com/watch?v=-asOA1QMGtg&amp;t=3156s", "Go to time")</f>
        <v/>
      </c>
    </row>
    <row r="198">
      <c r="A198">
        <f>HYPERLINK("https://www.youtube.com/watch?v=0vkYW7O_3nM", "Video")</f>
        <v/>
      </c>
      <c r="B198" t="inlineStr">
        <is>
          <t>0:46</t>
        </is>
      </c>
      <c r="C198" t="inlineStr">
        <is>
          <t>driven a centralization of the healthc</t>
        </is>
      </c>
      <c r="D198">
        <f>HYPERLINK("https://www.youtube.com/watch?v=0vkYW7O_3nM&amp;t=46s", "Go to time")</f>
        <v/>
      </c>
    </row>
    <row r="199">
      <c r="A199">
        <f>HYPERLINK("https://www.youtube.com/watch?v=0vkYW7O_3nM", "Video")</f>
        <v/>
      </c>
      <c r="B199" t="inlineStr">
        <is>
          <t>1:06</t>
        </is>
      </c>
      <c r="C199" t="inlineStr">
        <is>
          <t>we need to do is drive the disruptive</t>
        </is>
      </c>
      <c r="D199">
        <f>HYPERLINK("https://www.youtube.com/watch?v=0vkYW7O_3nM&amp;t=66s", "Go to time")</f>
        <v/>
      </c>
    </row>
    <row r="200">
      <c r="A200">
        <f>HYPERLINK("https://www.youtube.com/watch?v=0vkYW7O_3nM", "Video")</f>
        <v/>
      </c>
      <c r="B200" t="inlineStr">
        <is>
          <t>1:42</t>
        </is>
      </c>
      <c r="C200" t="inlineStr">
        <is>
          <t>Clinic and then drive that technology so</t>
        </is>
      </c>
      <c r="D200">
        <f>HYPERLINK("https://www.youtube.com/watch?v=0vkYW7O_3nM&amp;t=102s", "Go to time")</f>
        <v/>
      </c>
    </row>
    <row r="201">
      <c r="A201">
        <f>HYPERLINK("https://www.youtube.com/watch?v=0vkYW7O_3nM", "Video")</f>
        <v/>
      </c>
      <c r="B201" t="inlineStr">
        <is>
          <t>1:52</t>
        </is>
      </c>
      <c r="C201" t="inlineStr">
        <is>
          <t>and then drive technology use technology</t>
        </is>
      </c>
      <c r="D201">
        <f>HYPERLINK("https://www.youtube.com/watch?v=0vkYW7O_3nM&amp;t=112s", "Go to time")</f>
        <v/>
      </c>
    </row>
    <row r="202">
      <c r="A202">
        <f>HYPERLINK("https://www.youtube.com/watch?v=0vkYW7O_3nM", "Video")</f>
        <v/>
      </c>
      <c r="B202" t="inlineStr">
        <is>
          <t>1:54</t>
        </is>
      </c>
      <c r="C202" t="inlineStr">
        <is>
          <t>to drive care to the home and in a</t>
        </is>
      </c>
      <c r="D202">
        <f>HYPERLINK("https://www.youtube.com/watch?v=0vkYW7O_3nM&amp;t=114s", "Go to time")</f>
        <v/>
      </c>
    </row>
    <row r="203">
      <c r="A203">
        <f>HYPERLINK("https://www.youtube.com/watch?v=0vkYW7O_3nM", "Video")</f>
        <v/>
      </c>
      <c r="B203" t="inlineStr">
        <is>
          <t>2:17</t>
        </is>
      </c>
      <c r="C203" t="inlineStr">
        <is>
          <t>then drive that technology so that they</t>
        </is>
      </c>
      <c r="D203">
        <f>HYPERLINK("https://www.youtube.com/watch?v=0vkYW7O_3nM&amp;t=137s", "Go to time")</f>
        <v/>
      </c>
    </row>
    <row r="204">
      <c r="A204">
        <f>HYPERLINK("https://www.youtube.com/watch?v=H5Q_-gIZIps", "Video")</f>
        <v/>
      </c>
      <c r="B204" t="inlineStr">
        <is>
          <t>5:08</t>
        </is>
      </c>
      <c r="C204" t="inlineStr">
        <is>
          <t>It takes a certain
constitution, a certain drive,</t>
        </is>
      </c>
      <c r="D204">
        <f>HYPERLINK("https://www.youtube.com/watch?v=H5Q_-gIZIps&amp;t=308s", "Go to time")</f>
        <v/>
      </c>
    </row>
    <row r="205">
      <c r="A205">
        <f>HYPERLINK("https://www.youtube.com/watch?v=fWP_6RV6nmA", "Video")</f>
        <v/>
      </c>
      <c r="B205" t="inlineStr">
        <is>
          <t>1:54</t>
        </is>
      </c>
      <c r="C205" t="inlineStr">
        <is>
          <t>curious that we have these inner drives</t>
        </is>
      </c>
      <c r="D205">
        <f>HYPERLINK("https://www.youtube.com/watch?v=fWP_6RV6nmA&amp;t=114s", "Go to time")</f>
        <v/>
      </c>
    </row>
    <row r="206">
      <c r="A206">
        <f>HYPERLINK("https://www.youtube.com/watch?v=fWP_6RV6nmA", "Video")</f>
        <v/>
      </c>
      <c r="B206" t="inlineStr">
        <is>
          <t>2:13</t>
        </is>
      </c>
      <c r="C206" t="inlineStr">
        <is>
          <t>these drives</t>
        </is>
      </c>
      <c r="D206">
        <f>HYPERLINK("https://www.youtube.com/watch?v=fWP_6RV6nmA&amp;t=133s", "Go to time")</f>
        <v/>
      </c>
    </row>
    <row r="207">
      <c r="A207">
        <f>HYPERLINK("https://www.youtube.com/watch?v=fWP_6RV6nmA", "Video")</f>
        <v/>
      </c>
      <c r="B207" t="inlineStr">
        <is>
          <t>2:31</t>
        </is>
      </c>
      <c r="C207" t="inlineStr">
        <is>
          <t>drives for learning and curiosity that</t>
        </is>
      </c>
      <c r="D207">
        <f>HYPERLINK("https://www.youtube.com/watch?v=fWP_6RV6nmA&amp;t=151s", "Go to time")</f>
        <v/>
      </c>
    </row>
    <row r="208">
      <c r="A208">
        <f>HYPERLINK("https://www.youtube.com/watch?v=fWP_6RV6nmA", "Video")</f>
        <v/>
      </c>
      <c r="B208" t="inlineStr">
        <is>
          <t>2:41</t>
        </is>
      </c>
      <c r="C208" t="inlineStr">
        <is>
          <t>supporting a child's inner drive to</t>
        </is>
      </c>
      <c r="D208">
        <f>HYPERLINK("https://www.youtube.com/watch?v=fWP_6RV6nmA&amp;t=161s", "Go to time")</f>
        <v/>
      </c>
    </row>
    <row r="209">
      <c r="A209">
        <f>HYPERLINK("https://www.youtube.com/watch?v=fWP_6RV6nmA", "Video")</f>
        <v/>
      </c>
      <c r="B209" t="inlineStr">
        <is>
          <t>4:15</t>
        </is>
      </c>
      <c r="C209" t="inlineStr">
        <is>
          <t>natural drives and in that process the</t>
        </is>
      </c>
      <c r="D209">
        <f>HYPERLINK("https://www.youtube.com/watch?v=fWP_6RV6nmA&amp;t=255s", "Go to time")</f>
        <v/>
      </c>
    </row>
    <row r="210">
      <c r="A210">
        <f>HYPERLINK("https://www.youtube.com/watch?v=iMM3zxVoGZc", "Video")</f>
        <v/>
      </c>
      <c r="B210" t="inlineStr">
        <is>
          <t>7:34</t>
        </is>
      </c>
      <c r="C210" t="inlineStr">
        <is>
          <t>To really, really succeed you have to have
such deep passion and drive to make it succeed.</t>
        </is>
      </c>
      <c r="D210">
        <f>HYPERLINK("https://www.youtube.com/watch?v=iMM3zxVoGZc&amp;t=454s", "Go to time")</f>
        <v/>
      </c>
    </row>
    <row r="211">
      <c r="A211">
        <f>HYPERLINK("https://www.youtube.com/watch?v=iMM3zxVoGZc", "Video")</f>
        <v/>
      </c>
      <c r="B211" t="inlineStr">
        <is>
          <t>8:12</t>
        </is>
      </c>
      <c r="C211" t="inlineStr">
        <is>
          <t>make one crucial bet that ultimately can drive
the early success of your company.</t>
        </is>
      </c>
      <c r="D211">
        <f>HYPERLINK("https://www.youtube.com/watch?v=iMM3zxVoGZc&amp;t=492s", "Go to time")</f>
        <v/>
      </c>
    </row>
    <row r="212">
      <c r="A212">
        <f>HYPERLINK("https://www.youtube.com/watch?v=iMM3zxVoGZc", "Video")</f>
        <v/>
      </c>
      <c r="B212" t="inlineStr">
        <is>
          <t>9:51</t>
        </is>
      </c>
      <c r="C212" t="inlineStr">
        <is>
          <t>You drive to the city, everybody can see it.</t>
        </is>
      </c>
      <c r="D212">
        <f>HYPERLINK("https://www.youtube.com/watch?v=iMM3zxVoGZc&amp;t=591s", "Go to time")</f>
        <v/>
      </c>
    </row>
    <row r="213">
      <c r="A213">
        <f>HYPERLINK("https://www.youtube.com/watch?v=6helEPGTlzA", "Video")</f>
        <v/>
      </c>
      <c r="B213" t="inlineStr">
        <is>
          <t>3:11</t>
        </is>
      </c>
      <c r="C213" t="inlineStr">
        <is>
          <t>uh sex sex drive concentration and mood</t>
        </is>
      </c>
      <c r="D213">
        <f>HYPERLINK("https://www.youtube.com/watch?v=6helEPGTlzA&amp;t=191s", "Go to time")</f>
        <v/>
      </c>
    </row>
    <row r="214">
      <c r="A214">
        <f>HYPERLINK("https://www.youtube.com/watch?v=GwvQDt5yiVc", "Video")</f>
        <v/>
      </c>
      <c r="B214" t="inlineStr">
        <is>
          <t>3:40</t>
        </is>
      </c>
      <c r="C214" t="inlineStr">
        <is>
          <t>book is called The Purpose Driven Life</t>
        </is>
      </c>
      <c r="D214">
        <f>HYPERLINK("https://www.youtube.com/watch?v=GwvQDt5yiVc&amp;t=220s", "Go to time")</f>
        <v/>
      </c>
    </row>
    <row r="215">
      <c r="A215">
        <f>HYPERLINK("https://www.youtube.com/watch?v=GwvQDt5yiVc", "Video")</f>
        <v/>
      </c>
      <c r="B215" t="inlineStr">
        <is>
          <t>6:50</t>
        </is>
      </c>
      <c r="C215" t="inlineStr">
        <is>
          <t>The Purpose Driven Life you know there's</t>
        </is>
      </c>
      <c r="D215">
        <f>HYPERLINK("https://www.youtube.com/watch?v=GwvQDt5yiVc&amp;t=410s", "Go to time")</f>
        <v/>
      </c>
    </row>
    <row r="216">
      <c r="A216">
        <f>HYPERLINK("https://www.youtube.com/watch?v=um1W4Q00zV8", "Video")</f>
        <v/>
      </c>
      <c r="B216" t="inlineStr">
        <is>
          <t>1:45</t>
        </is>
      </c>
      <c r="C216" t="inlineStr">
        <is>
          <t>Billboards and every time I drive by it</t>
        </is>
      </c>
      <c r="D216">
        <f>HYPERLINK("https://www.youtube.com/watch?v=um1W4Q00zV8&amp;t=105s", "Go to time")</f>
        <v/>
      </c>
    </row>
    <row r="217">
      <c r="A217">
        <f>HYPERLINK("https://www.youtube.com/watch?v=EDlNAoNqv7Y", "Video")</f>
        <v/>
      </c>
      <c r="B217" t="inlineStr">
        <is>
          <t>7:03</t>
        </is>
      </c>
      <c r="C217" t="inlineStr">
        <is>
          <t>that you're uh writing for truck drivers</t>
        </is>
      </c>
      <c r="D217">
        <f>HYPERLINK("https://www.youtube.com/watch?v=EDlNAoNqv7Y&amp;t=423s", "Go to time")</f>
        <v/>
      </c>
    </row>
    <row r="218">
      <c r="A218">
        <f>HYPERLINK("https://www.youtube.com/watch?v=K3AEyXzaWT0", "Video")</f>
        <v/>
      </c>
      <c r="B218" t="inlineStr">
        <is>
          <t>11:19</t>
        </is>
      </c>
      <c r="C218" t="inlineStr">
        <is>
          <t>situations will drive policy and that</t>
        </is>
      </c>
      <c r="D218">
        <f>HYPERLINK("https://www.youtube.com/watch?v=K3AEyXzaWT0&amp;t=679s", "Go to time")</f>
        <v/>
      </c>
    </row>
    <row r="219">
      <c r="A219">
        <f>HYPERLINK("https://www.youtube.com/watch?v=0NbBjNiw4tk", "Video")</f>
        <v/>
      </c>
      <c r="B219" t="inlineStr">
        <is>
          <t>3:56</t>
        </is>
      </c>
      <c r="C219" t="inlineStr">
        <is>
          <t>or more.  That includes time travel, warp
drive, higher dimensions, portals through</t>
        </is>
      </c>
      <c r="D219">
        <f>HYPERLINK("https://www.youtube.com/watch?v=0NbBjNiw4tk&amp;t=236s", "Go to time")</f>
        <v/>
      </c>
    </row>
    <row r="220">
      <c r="A220">
        <f>HYPERLINK("https://www.youtube.com/watch?v=FPsjI-Pe5Wc", "Video")</f>
        <v/>
      </c>
      <c r="B220" t="inlineStr">
        <is>
          <t>8:29</t>
        </is>
      </c>
      <c r="C220" t="inlineStr">
        <is>
          <t>might alter your sex drive blah blah</t>
        </is>
      </c>
      <c r="D220">
        <f>HYPERLINK("https://www.youtube.com/watch?v=FPsjI-Pe5Wc&amp;t=509s", "Go to time")</f>
        <v/>
      </c>
    </row>
    <row r="221">
      <c r="A221">
        <f>HYPERLINK("https://www.youtube.com/watch?v=GpuBYBAPZxA", "Video")</f>
        <v/>
      </c>
      <c r="B221" t="inlineStr">
        <is>
          <t>2:16</t>
        </is>
      </c>
      <c r="C221" t="inlineStr">
        <is>
          <t>a day because they're trying to drive</t>
        </is>
      </c>
      <c r="D221">
        <f>HYPERLINK("https://www.youtube.com/watch?v=GpuBYBAPZxA&amp;t=136s", "Go to time")</f>
        <v/>
      </c>
    </row>
    <row r="222">
      <c r="A222">
        <f>HYPERLINK("https://www.youtube.com/watch?v=khO__hhB3Nk", "Video")</f>
        <v/>
      </c>
      <c r="B222" t="inlineStr">
        <is>
          <t>2:13</t>
        </is>
      </c>
      <c r="C222" t="inlineStr">
        <is>
          <t>you have to attend to that information. That's 
driven by the brain's production of dopamine.</t>
        </is>
      </c>
      <c r="D222">
        <f>HYPERLINK("https://www.youtube.com/watch?v=khO__hhB3Nk&amp;t=133s", "Go to time")</f>
        <v/>
      </c>
    </row>
    <row r="223">
      <c r="A223">
        <f>HYPERLINK("https://www.youtube.com/watch?v=khO__hhB3Nk", "Video")</f>
        <v/>
      </c>
      <c r="B223" t="inlineStr">
        <is>
          <t>2:18</t>
        </is>
      </c>
      <c r="C223" t="inlineStr">
        <is>
          <t>The second thing you've gotta get my lazy brain to 
care about the outcomes, and that caring is driven</t>
        </is>
      </c>
      <c r="D223">
        <f>HYPERLINK("https://www.youtube.com/watch?v=khO__hhB3Nk&amp;t=138s", "Go to time")</f>
        <v/>
      </c>
    </row>
    <row r="224">
      <c r="A224">
        <f>HYPERLINK("https://www.youtube.com/watch?v=WniD4tIoKG0", "Video")</f>
        <v/>
      </c>
      <c r="B224" t="inlineStr">
        <is>
          <t>3:18</t>
        </is>
      </c>
      <c r="C224" t="inlineStr">
        <is>
          <t>there's an opportunity to drive
pretty substantial change.</t>
        </is>
      </c>
      <c r="D224">
        <f>HYPERLINK("https://www.youtube.com/watch?v=WniD4tIoKG0&amp;t=198s", "Go to time")</f>
        <v/>
      </c>
    </row>
    <row r="225">
      <c r="A225">
        <f>HYPERLINK("https://www.youtube.com/watch?v=8DMJMRkQOVY", "Video")</f>
        <v/>
      </c>
      <c r="B225" t="inlineStr">
        <is>
          <t>2:24</t>
        </is>
      </c>
      <c r="C225" t="inlineStr">
        <is>
          <t>that these large changes
over time have been driven</t>
        </is>
      </c>
      <c r="D225">
        <f>HYPERLINK("https://www.youtube.com/watch?v=8DMJMRkQOVY&amp;t=144s", "Go to time")</f>
        <v/>
      </c>
    </row>
    <row r="226">
      <c r="A226">
        <f>HYPERLINK("https://www.youtube.com/watch?v=8DMJMRkQOVY", "Video")</f>
        <v/>
      </c>
      <c r="B226" t="inlineStr">
        <is>
          <t>2:38</t>
        </is>
      </c>
      <c r="C226" t="inlineStr">
        <is>
          <t>So the the main driver</t>
        </is>
      </c>
      <c r="D226">
        <f>HYPERLINK("https://www.youtube.com/watch?v=8DMJMRkQOVY&amp;t=158s", "Go to time")</f>
        <v/>
      </c>
    </row>
    <row r="227">
      <c r="A227">
        <f>HYPERLINK("https://www.youtube.com/watch?v=8DMJMRkQOVY", "Video")</f>
        <v/>
      </c>
      <c r="B227" t="inlineStr">
        <is>
          <t>13:19</t>
        </is>
      </c>
      <c r="C227" t="inlineStr">
        <is>
          <t>to reduce our transport
emissions is just to drive less,</t>
        </is>
      </c>
      <c r="D227">
        <f>HYPERLINK("https://www.youtube.com/watch?v=8DMJMRkQOVY&amp;t=799s", "Go to time")</f>
        <v/>
      </c>
    </row>
    <row r="228">
      <c r="A228">
        <f>HYPERLINK("https://www.youtube.com/watch?v=8DMJMRkQOVY", "Video")</f>
        <v/>
      </c>
      <c r="B228" t="inlineStr">
        <is>
          <t>14:23</t>
        </is>
      </c>
      <c r="C228" t="inlineStr">
        <is>
          <t>the average driver will have
paid off the carbon debt</t>
        </is>
      </c>
      <c r="D228">
        <f>HYPERLINK("https://www.youtube.com/watch?v=8DMJMRkQOVY&amp;t=863s", "Go to time")</f>
        <v/>
      </c>
    </row>
    <row r="229">
      <c r="A229">
        <f>HYPERLINK("https://www.youtube.com/watch?v=8DMJMRkQOVY", "Video")</f>
        <v/>
      </c>
      <c r="B229" t="inlineStr">
        <is>
          <t>18:58</t>
        </is>
      </c>
      <c r="C229" t="inlineStr">
        <is>
          <t>that we drive the cost down such</t>
        </is>
      </c>
      <c r="D229">
        <f>HYPERLINK("https://www.youtube.com/watch?v=8DMJMRkQOVY&amp;t=1138s", "Go to time")</f>
        <v/>
      </c>
    </row>
    <row r="230">
      <c r="A230">
        <f>HYPERLINK("https://www.youtube.com/watch?v=8DMJMRkQOVY", "Video")</f>
        <v/>
      </c>
      <c r="B230" t="inlineStr">
        <is>
          <t>23:55</t>
        </is>
      </c>
      <c r="C230" t="inlineStr">
        <is>
          <t>around this to drive this further.</t>
        </is>
      </c>
      <c r="D230">
        <f>HYPERLINK("https://www.youtube.com/watch?v=8DMJMRkQOVY&amp;t=1435s", "Go to time")</f>
        <v/>
      </c>
    </row>
    <row r="231">
      <c r="A231">
        <f>HYPERLINK("https://www.youtube.com/watch?v=8DMJMRkQOVY", "Video")</f>
        <v/>
      </c>
      <c r="B231" t="inlineStr">
        <is>
          <t>26:29</t>
        </is>
      </c>
      <c r="C231" t="inlineStr">
        <is>
          <t>but is really serious about how to drive</t>
        </is>
      </c>
      <c r="D231">
        <f>HYPERLINK("https://www.youtube.com/watch?v=8DMJMRkQOVY&amp;t=1589s", "Go to time")</f>
        <v/>
      </c>
    </row>
    <row r="232">
      <c r="A232">
        <f>HYPERLINK("https://www.youtube.com/watch?v=8DMJMRkQOVY", "Video")</f>
        <v/>
      </c>
      <c r="B232" t="inlineStr">
        <is>
          <t>28:24</t>
        </is>
      </c>
      <c r="C232" t="inlineStr">
        <is>
          <t>Our food systems are the
leading driver of deforestation,</t>
        </is>
      </c>
      <c r="D232">
        <f>HYPERLINK("https://www.youtube.com/watch?v=8DMJMRkQOVY&amp;t=1704s", "Go to time")</f>
        <v/>
      </c>
    </row>
    <row r="233">
      <c r="A233">
        <f>HYPERLINK("https://www.youtube.com/watch?v=8DMJMRkQOVY", "Video")</f>
        <v/>
      </c>
      <c r="B233" t="inlineStr">
        <is>
          <t>28:27</t>
        </is>
      </c>
      <c r="C233" t="inlineStr">
        <is>
          <t>the leading driver of biodiversity loss,</t>
        </is>
      </c>
      <c r="D233">
        <f>HYPERLINK("https://www.youtube.com/watch?v=8DMJMRkQOVY&amp;t=1707s", "Go to time")</f>
        <v/>
      </c>
    </row>
    <row r="234">
      <c r="A234">
        <f>HYPERLINK("https://www.youtube.com/watch?v=8DMJMRkQOVY", "Video")</f>
        <v/>
      </c>
      <c r="B234" t="inlineStr">
        <is>
          <t>28:30</t>
        </is>
      </c>
      <c r="C234" t="inlineStr">
        <is>
          <t>the leading driver of fresh water use,</t>
        </is>
      </c>
      <c r="D234">
        <f>HYPERLINK("https://www.youtube.com/watch?v=8DMJMRkQOVY&amp;t=1710s", "Go to time")</f>
        <v/>
      </c>
    </row>
    <row r="235">
      <c r="A235">
        <f>HYPERLINK("https://www.youtube.com/watch?v=8DMJMRkQOVY", "Video")</f>
        <v/>
      </c>
      <c r="B235" t="inlineStr">
        <is>
          <t>28:33</t>
        </is>
      </c>
      <c r="C235" t="inlineStr">
        <is>
          <t>and the leading driver of water pollution.</t>
        </is>
      </c>
      <c r="D235">
        <f>HYPERLINK("https://www.youtube.com/watch?v=8DMJMRkQOVY&amp;t=1713s", "Go to time")</f>
        <v/>
      </c>
    </row>
    <row r="236">
      <c r="A236">
        <f>HYPERLINK("https://www.youtube.com/watch?v=8DMJMRkQOVY", "Video")</f>
        <v/>
      </c>
      <c r="B236" t="inlineStr">
        <is>
          <t>52:17</t>
        </is>
      </c>
      <c r="C236" t="inlineStr">
        <is>
          <t>and agricultural expansion
is the leading driver</t>
        </is>
      </c>
      <c r="D236">
        <f>HYPERLINK("https://www.youtube.com/watch?v=8DMJMRkQOVY&amp;t=3137s", "Go to time")</f>
        <v/>
      </c>
    </row>
    <row r="237">
      <c r="A237">
        <f>HYPERLINK("https://www.youtube.com/watch?v=8DMJMRkQOVY", "Video")</f>
        <v/>
      </c>
      <c r="B237" t="inlineStr">
        <is>
          <t>52:31</t>
        </is>
      </c>
      <c r="C237" t="inlineStr">
        <is>
          <t>Again, our food systems
are the leading driver</t>
        </is>
      </c>
      <c r="D237">
        <f>HYPERLINK("https://www.youtube.com/watch?v=8DMJMRkQOVY&amp;t=3151s", "Go to time")</f>
        <v/>
      </c>
    </row>
    <row r="238">
      <c r="A238">
        <f>HYPERLINK("https://www.youtube.com/watch?v=8DMJMRkQOVY", "Video")</f>
        <v/>
      </c>
      <c r="B238" t="inlineStr">
        <is>
          <t>68:01</t>
        </is>
      </c>
      <c r="C238" t="inlineStr">
        <is>
          <t>That should give them even more drive</t>
        </is>
      </c>
      <c r="D238">
        <f>HYPERLINK("https://www.youtube.com/watch?v=8DMJMRkQOVY&amp;t=4081s", "Go to time")</f>
        <v/>
      </c>
    </row>
    <row r="239">
      <c r="A239">
        <f>HYPERLINK("https://www.youtube.com/watch?v=0texZ9XDi_0", "Video")</f>
        <v/>
      </c>
      <c r="B239" t="inlineStr">
        <is>
          <t>5:53</t>
        </is>
      </c>
      <c r="C239" t="inlineStr">
        <is>
          <t>We are all being driven by way more advertising
than that every day, right?</t>
        </is>
      </c>
      <c r="D239">
        <f>HYPERLINK("https://www.youtube.com/watch?v=0texZ9XDi_0&amp;t=353s", "Go to time")</f>
        <v/>
      </c>
    </row>
    <row r="240">
      <c r="A240">
        <f>HYPERLINK("https://www.youtube.com/watch?v=vqJQvJ7i7Ek", "Video")</f>
        <v/>
      </c>
      <c r="B240" t="inlineStr">
        <is>
          <t>5:54</t>
        </is>
      </c>
      <c r="C240" t="inlineStr">
        <is>
          <t>drivers like breathing, sexuality, embodiment, 
substances and music. Our nervous systems and our</t>
        </is>
      </c>
      <c r="D240">
        <f>HYPERLINK("https://www.youtube.com/watch?v=vqJQvJ7i7Ek&amp;t=354s", "Go to time")</f>
        <v/>
      </c>
    </row>
    <row r="241">
      <c r="A241">
        <f>HYPERLINK("https://www.youtube.com/watch?v=4xSkkDTA0qI", "Video")</f>
        <v/>
      </c>
      <c r="B241" t="inlineStr">
        <is>
          <t>2:00</t>
        </is>
      </c>
      <c r="C241" t="inlineStr">
        <is>
          <t>driven at least I think most of the</t>
        </is>
      </c>
      <c r="D241">
        <f>HYPERLINK("https://www.youtube.com/watch?v=4xSkkDTA0qI&amp;t=120s", "Go to time")</f>
        <v/>
      </c>
    </row>
    <row r="242">
      <c r="A242">
        <f>HYPERLINK("https://www.youtube.com/watch?v=4xSkkDTA0qI", "Video")</f>
        <v/>
      </c>
      <c r="B242" t="inlineStr">
        <is>
          <t>2:01</t>
        </is>
      </c>
      <c r="C242" t="inlineStr">
        <is>
          <t>blogs at that time were very text driven</t>
        </is>
      </c>
      <c r="D242">
        <f>HYPERLINK("https://www.youtube.com/watch?v=4xSkkDTA0qI&amp;t=121s", "Go to time")</f>
        <v/>
      </c>
    </row>
    <row r="243">
      <c r="A243">
        <f>HYPERLINK("https://www.youtube.com/watch?v=nXtHhfKtY18", "Video")</f>
        <v/>
      </c>
      <c r="B243" t="inlineStr">
        <is>
          <t>3:30</t>
        </is>
      </c>
      <c r="C243" t="inlineStr">
        <is>
          <t>societies there is a a stronger drive</t>
        </is>
      </c>
      <c r="D243">
        <f>HYPERLINK("https://www.youtube.com/watch?v=nXtHhfKtY18&amp;t=210s", "Go to time")</f>
        <v/>
      </c>
    </row>
    <row r="244">
      <c r="A244">
        <f>HYPERLINK("https://www.youtube.com/watch?v=DvI1kXjFFm0", "Video")</f>
        <v/>
      </c>
      <c r="B244" t="inlineStr">
        <is>
          <t>0:19</t>
        </is>
      </c>
      <c r="C244" t="inlineStr">
        <is>
          <t>sex drive or similar you know I mean</t>
        </is>
      </c>
      <c r="D244">
        <f>HYPERLINK("https://www.youtube.com/watch?v=DvI1kXjFFm0&amp;t=19s", "Go to time")</f>
        <v/>
      </c>
    </row>
    <row r="245">
      <c r="A245">
        <f>HYPERLINK("https://www.youtube.com/watch?v=ceqA5mYdBVs", "Video")</f>
        <v/>
      </c>
      <c r="B245" t="inlineStr">
        <is>
          <t>0:23</t>
        </is>
      </c>
      <c r="C245" t="inlineStr">
        <is>
          <t>females in part because uh he will drive</t>
        </is>
      </c>
      <c r="D245">
        <f>HYPERLINK("https://www.youtube.com/watch?v=ceqA5mYdBVs&amp;t=23s", "Go to time")</f>
        <v/>
      </c>
    </row>
    <row r="246">
      <c r="A246">
        <f>HYPERLINK("https://www.youtube.com/watch?v=GnCS_TGYZPA", "Video")</f>
        <v/>
      </c>
      <c r="B246" t="inlineStr">
        <is>
          <t>20:59</t>
        </is>
      </c>
      <c r="C246" t="inlineStr">
        <is>
          <t>So I have the drive of a Rottweiler, so I
drove to Oxford.</t>
        </is>
      </c>
      <c r="D246">
        <f>HYPERLINK("https://www.youtube.com/watch?v=GnCS_TGYZPA&amp;t=1259s", "Go to time")</f>
        <v/>
      </c>
    </row>
    <row r="247">
      <c r="A247">
        <f>HYPERLINK("https://www.youtube.com/watch?v=zy4gRLr26vU", "Video")</f>
        <v/>
      </c>
      <c r="B247" t="inlineStr">
        <is>
          <t>0:47</t>
        </is>
      </c>
      <c r="C247" t="inlineStr">
        <is>
          <t>homosexuality and pedophilia to drive</t>
        </is>
      </c>
      <c r="D247">
        <f>HYPERLINK("https://www.youtube.com/watch?v=zy4gRLr26vU&amp;t=47s", "Go to time")</f>
        <v/>
      </c>
    </row>
    <row r="248">
      <c r="A248">
        <f>HYPERLINK("https://www.youtube.com/watch?v=UkA7dML785o", "Video")</f>
        <v/>
      </c>
      <c r="B248" t="inlineStr">
        <is>
          <t>7:26</t>
        </is>
      </c>
      <c r="C248" t="inlineStr">
        <is>
          <t>to the mechanical power you get
out when you drive your car,</t>
        </is>
      </c>
      <c r="D248">
        <f>HYPERLINK("https://www.youtube.com/watch?v=UkA7dML785o&amp;t=446s", "Go to time")</f>
        <v/>
      </c>
    </row>
    <row r="249">
      <c r="A249">
        <f>HYPERLINK("https://www.youtube.com/watch?v=N3CxMZOmCgo", "Video")</f>
        <v/>
      </c>
      <c r="B249" t="inlineStr">
        <is>
          <t>2:48</t>
        </is>
      </c>
      <c r="C249" t="inlineStr">
        <is>
          <t>All the value drivers that you can create
in business, this pivot will help you enable.</t>
        </is>
      </c>
      <c r="D249">
        <f>HYPERLINK("https://www.youtube.com/watch?v=N3CxMZOmCgo&amp;t=168s", "Go to time")</f>
        <v/>
      </c>
    </row>
    <row r="250">
      <c r="A250">
        <f>HYPERLINK("https://www.youtube.com/watch?v=2bM_4JHqPEQ", "Video")</f>
        <v/>
      </c>
      <c r="B250" t="inlineStr">
        <is>
          <t>0:30</t>
        </is>
      </c>
      <c r="C250" t="inlineStr">
        <is>
          <t>We look at Swiss watches because those stocks
have been driven primarily by its growth in</t>
        </is>
      </c>
      <c r="D250">
        <f>HYPERLINK("https://www.youtube.com/watch?v=2bM_4JHqPEQ&amp;t=30s", "Go to time")</f>
        <v/>
      </c>
    </row>
    <row r="251">
      <c r="A251">
        <f>HYPERLINK("https://www.youtube.com/watch?v=2bM_4JHqPEQ", "Video")</f>
        <v/>
      </c>
      <c r="B251" t="inlineStr">
        <is>
          <t>0:51</t>
        </is>
      </c>
      <c r="C251" t="inlineStr">
        <is>
          <t>driven by gifting.</t>
        </is>
      </c>
      <c r="D251">
        <f>HYPERLINK("https://www.youtube.com/watch?v=2bM_4JHqPEQ&amp;t=51s", "Go to time")</f>
        <v/>
      </c>
    </row>
    <row r="252">
      <c r="A252">
        <f>HYPERLINK("https://www.youtube.com/watch?v=feAG5y1ts6U", "Video")</f>
        <v/>
      </c>
      <c r="B252" t="inlineStr">
        <is>
          <t>4:00</t>
        </is>
      </c>
      <c r="C252" t="inlineStr">
        <is>
          <t>face beside me my driver monaf holds his</t>
        </is>
      </c>
      <c r="D252">
        <f>HYPERLINK("https://www.youtube.com/watch?v=feAG5y1ts6U&amp;t=240s", "Go to time")</f>
        <v/>
      </c>
    </row>
    <row r="253">
      <c r="A253">
        <f>HYPERLINK("https://www.youtube.com/watch?v=L7YZ3Hh4Sa8", "Video")</f>
        <v/>
      </c>
      <c r="B253" t="inlineStr">
        <is>
          <t>0:05</t>
        </is>
      </c>
      <c r="C253" t="inlineStr">
        <is>
          <t>So the patent system has been a great driver
of medical inventions.</t>
        </is>
      </c>
      <c r="D253">
        <f>HYPERLINK("https://www.youtube.com/watch?v=L7YZ3Hh4Sa8&amp;t=5s", "Go to time")</f>
        <v/>
      </c>
    </row>
    <row r="254">
      <c r="A254">
        <f>HYPERLINK("https://www.youtube.com/watch?v=L7YZ3Hh4Sa8", "Video")</f>
        <v/>
      </c>
      <c r="B254" t="inlineStr">
        <is>
          <t>0:40</t>
        </is>
      </c>
      <c r="C254" t="inlineStr">
        <is>
          <t>And we all know that once you have competition,
prices drive down.</t>
        </is>
      </c>
      <c r="D254">
        <f>HYPERLINK("https://www.youtube.com/watch?v=L7YZ3Hh4Sa8&amp;t=40s", "Go to time")</f>
        <v/>
      </c>
    </row>
    <row r="255">
      <c r="A255">
        <f>HYPERLINK("https://www.youtube.com/watch?v=L7YZ3Hh4Sa8", "Video")</f>
        <v/>
      </c>
      <c r="B255" t="inlineStr">
        <is>
          <t>2:49</t>
        </is>
      </c>
      <c r="C255" t="inlineStr">
        <is>
          <t>an argument that it's become overly financialized
in terms of its investors who drive what companies</t>
        </is>
      </c>
      <c r="D255">
        <f>HYPERLINK("https://www.youtube.com/watch?v=L7YZ3Hh4Sa8&amp;t=169s", "Go to time")</f>
        <v/>
      </c>
    </row>
    <row r="256">
      <c r="A256">
        <f>HYPERLINK("https://www.youtube.com/watch?v=fBSMJfVvbX4", "Video")</f>
        <v/>
      </c>
      <c r="B256" t="inlineStr">
        <is>
          <t>0:39</t>
        </is>
      </c>
      <c r="C256" t="inlineStr">
        <is>
          <t>been driven primarily by I think three</t>
        </is>
      </c>
      <c r="D256">
        <f>HYPERLINK("https://www.youtube.com/watch?v=fBSMJfVvbX4&amp;t=39s", "Go to time")</f>
        <v/>
      </c>
    </row>
    <row r="257">
      <c r="A257">
        <f>HYPERLINK("https://www.youtube.com/watch?v=fBSMJfVvbX4", "Video")</f>
        <v/>
      </c>
      <c r="B257" t="inlineStr">
        <is>
          <t>3:28</t>
        </is>
      </c>
      <c r="C257" t="inlineStr">
        <is>
          <t>former model the former model is driven</t>
        </is>
      </c>
      <c r="D257">
        <f>HYPERLINK("https://www.youtube.com/watch?v=fBSMJfVvbX4&amp;t=208s", "Go to time")</f>
        <v/>
      </c>
    </row>
    <row r="258">
      <c r="A258">
        <f>HYPERLINK("https://www.youtube.com/watch?v=K5tcwIicICg", "Video")</f>
        <v/>
      </c>
      <c r="B258" t="inlineStr">
        <is>
          <t>26:26</t>
        </is>
      </c>
      <c r="C258" t="inlineStr">
        <is>
          <t>to drive their agenda to undermine Israel,</t>
        </is>
      </c>
      <c r="D258">
        <f>HYPERLINK("https://www.youtube.com/watch?v=K5tcwIicICg&amp;t=1586s", "Go to time")</f>
        <v/>
      </c>
    </row>
    <row r="259">
      <c r="A259">
        <f>HYPERLINK("https://www.youtube.com/watch?v=K5tcwIicICg", "Video")</f>
        <v/>
      </c>
      <c r="B259" t="inlineStr">
        <is>
          <t>37:13</t>
        </is>
      </c>
      <c r="C259" t="inlineStr">
        <is>
          <t>who is able to drive
real-time disinformation</t>
        </is>
      </c>
      <c r="D259">
        <f>HYPERLINK("https://www.youtube.com/watch?v=K5tcwIicICg&amp;t=2233s", "Go to time")</f>
        <v/>
      </c>
    </row>
    <row r="260">
      <c r="A260">
        <f>HYPERLINK("https://www.youtube.com/watch?v=Gb9tjnJWu5g", "Video")</f>
        <v/>
      </c>
      <c r="B260" t="inlineStr">
        <is>
          <t>2:26</t>
        </is>
      </c>
      <c r="C260" t="inlineStr">
        <is>
          <t>Number three: it's hypothesis-driven.</t>
        </is>
      </c>
      <c r="D260">
        <f>HYPERLINK("https://www.youtube.com/watch?v=Gb9tjnJWu5g&amp;t=146s", "Go to time")</f>
        <v/>
      </c>
    </row>
    <row r="261">
      <c r="A261">
        <f>HYPERLINK("https://www.youtube.com/watch?v=5CcNAgU8TXg", "Video")</f>
        <v/>
      </c>
      <c r="B261" t="inlineStr">
        <is>
          <t>0:32</t>
        </is>
      </c>
      <c r="C261" t="inlineStr">
        <is>
          <t>driven in part due to extreme climatic</t>
        </is>
      </c>
      <c r="D261">
        <f>HYPERLINK("https://www.youtube.com/watch?v=5CcNAgU8TXg&amp;t=32s", "Go to time")</f>
        <v/>
      </c>
    </row>
    <row r="262">
      <c r="A262">
        <f>HYPERLINK("https://www.youtube.com/watch?v=5CcNAgU8TXg", "Video")</f>
        <v/>
      </c>
      <c r="B262" t="inlineStr">
        <is>
          <t>3:52</t>
        </is>
      </c>
      <c r="C262" t="inlineStr">
        <is>
          <t>been driven by the cultural shifts by</t>
        </is>
      </c>
      <c r="D262">
        <f>HYPERLINK("https://www.youtube.com/watch?v=5CcNAgU8TXg&amp;t=232s", "Go to time")</f>
        <v/>
      </c>
    </row>
    <row r="263">
      <c r="A263">
        <f>HYPERLINK("https://www.youtube.com/watch?v=uhKlA4JjZvI", "Video")</f>
        <v/>
      </c>
      <c r="B263" t="inlineStr">
        <is>
          <t>2:21</t>
        </is>
      </c>
      <c r="C263" t="inlineStr">
        <is>
          <t>to you and what really drives you is</t>
        </is>
      </c>
      <c r="D263">
        <f>HYPERLINK("https://www.youtube.com/watch?v=uhKlA4JjZvI&amp;t=141s", "Go to time")</f>
        <v/>
      </c>
    </row>
    <row r="264">
      <c r="A264">
        <f>HYPERLINK("https://www.youtube.com/watch?v=4Ix5g6Ictvs", "Video")</f>
        <v/>
      </c>
      <c r="B264" t="inlineStr">
        <is>
          <t>0:32</t>
        </is>
      </c>
      <c r="C264" t="inlineStr">
        <is>
          <t>of us instead of just trying to really figure
out who we are, what drives purpose for us,</t>
        </is>
      </c>
      <c r="D264">
        <f>HYPERLINK("https://www.youtube.com/watch?v=4Ix5g6Ictvs&amp;t=32s", "Go to time")</f>
        <v/>
      </c>
    </row>
    <row r="265">
      <c r="A265">
        <f>HYPERLINK("https://www.youtube.com/watch?v=PwJWNz8pmAE", "Video")</f>
        <v/>
      </c>
      <c r="B265" t="inlineStr">
        <is>
          <t>0:30</t>
        </is>
      </c>
      <c r="C265" t="inlineStr">
        <is>
          <t>uh both driven by ideology in those days</t>
        </is>
      </c>
      <c r="D265">
        <f>HYPERLINK("https://www.youtube.com/watch?v=PwJWNz8pmAE&amp;t=30s", "Go to time")</f>
        <v/>
      </c>
    </row>
    <row r="266">
      <c r="A266">
        <f>HYPERLINK("https://www.youtube.com/watch?v=V36eeyk6paI", "Video")</f>
        <v/>
      </c>
      <c r="B266" t="inlineStr">
        <is>
          <t>3:18</t>
        </is>
      </c>
      <c r="C266" t="inlineStr">
        <is>
          <t>another within an hour's Drive of our</t>
        </is>
      </c>
      <c r="D266">
        <f>HYPERLINK("https://www.youtube.com/watch?v=V36eeyk6paI&amp;t=198s", "Go to time")</f>
        <v/>
      </c>
    </row>
    <row r="267">
      <c r="A267">
        <f>HYPERLINK("https://www.youtube.com/watch?v=7xlj7kKaZNE", "Video")</f>
        <v/>
      </c>
      <c r="B267" t="inlineStr">
        <is>
          <t>0:15</t>
        </is>
      </c>
      <c r="C267" t="inlineStr">
        <is>
          <t>of objectivity sort of drives me crazy</t>
        </is>
      </c>
      <c r="D267">
        <f>HYPERLINK("https://www.youtube.com/watch?v=7xlj7kKaZNE&amp;t=15s", "Go to time")</f>
        <v/>
      </c>
    </row>
    <row r="268">
      <c r="A268">
        <f>HYPERLINK("https://www.youtube.com/watch?v=8Aqjp2Nnv-k", "Video")</f>
        <v/>
      </c>
      <c r="B268" t="inlineStr">
        <is>
          <t>6:09</t>
        </is>
      </c>
      <c r="C268" t="inlineStr">
        <is>
          <t>to basically go in with a screwdriver or</t>
        </is>
      </c>
      <c r="D268">
        <f>HYPERLINK("https://www.youtube.com/watch?v=8Aqjp2Nnv-k&amp;t=369s", "Go to time")</f>
        <v/>
      </c>
    </row>
    <row r="269">
      <c r="A269">
        <f>HYPERLINK("https://www.youtube.com/watch?v=WlKyh3wBrJ8", "Video")</f>
        <v/>
      </c>
      <c r="B269" t="inlineStr">
        <is>
          <t>1:55</t>
        </is>
      </c>
      <c r="C269" t="inlineStr">
        <is>
          <t>the drivers are wider in scope</t>
        </is>
      </c>
      <c r="D269">
        <f>HYPERLINK("https://www.youtube.com/watch?v=WlKyh3wBrJ8&amp;t=115s", "Go to time")</f>
        <v/>
      </c>
    </row>
    <row r="270">
      <c r="A270">
        <f>HYPERLINK("https://www.youtube.com/watch?v=WlKyh3wBrJ8", "Video")</f>
        <v/>
      </c>
      <c r="B270" t="inlineStr">
        <is>
          <t>2:01</t>
        </is>
      </c>
      <c r="C270" t="inlineStr">
        <is>
          <t>what are those drivers they're they're</t>
        </is>
      </c>
      <c r="D270">
        <f>HYPERLINK("https://www.youtube.com/watch?v=WlKyh3wBrJ8&amp;t=121s", "Go to time")</f>
        <v/>
      </c>
    </row>
    <row r="271">
      <c r="A271">
        <f>HYPERLINK("https://www.youtube.com/watch?v=mud6tEqFiEM", "Video")</f>
        <v/>
      </c>
      <c r="B271" t="inlineStr">
        <is>
          <t>2:27</t>
        </is>
      </c>
      <c r="C271" t="inlineStr">
        <is>
          <t>to drive down costs.</t>
        </is>
      </c>
      <c r="D271">
        <f>HYPERLINK("https://www.youtube.com/watch?v=mud6tEqFiEM&amp;t=147s", "Go to time")</f>
        <v/>
      </c>
    </row>
    <row r="272">
      <c r="A272">
        <f>HYPERLINK("https://www.youtube.com/watch?v=J1eTGYQJdmk", "Video")</f>
        <v/>
      </c>
      <c r="B272" t="inlineStr">
        <is>
          <t>0:29</t>
        </is>
      </c>
      <c r="C272" t="inlineStr">
        <is>
          <t>years ago and and I was being driven</t>
        </is>
      </c>
      <c r="D272">
        <f>HYPERLINK("https://www.youtube.com/watch?v=J1eTGYQJdmk&amp;t=29s", "Go to time")</f>
        <v/>
      </c>
    </row>
    <row r="273">
      <c r="A273">
        <f>HYPERLINK("https://www.youtube.com/watch?v=QvHne-U4lcw", "Video")</f>
        <v/>
      </c>
      <c r="B273" t="inlineStr">
        <is>
          <t>6:32</t>
        </is>
      </c>
      <c r="C273" t="inlineStr">
        <is>
          <t>triggers. They drive focus. They drive attention 
that drive alertness, um, and, and excitement.</t>
        </is>
      </c>
      <c r="D273">
        <f>HYPERLINK("https://www.youtube.com/watch?v=QvHne-U4lcw&amp;t=392s", "Go to time")</f>
        <v/>
      </c>
    </row>
    <row r="274">
      <c r="A274">
        <f>HYPERLINK("https://www.youtube.com/watch?v=QvHne-U4lcw", "Video")</f>
        <v/>
      </c>
      <c r="B274" t="inlineStr">
        <is>
          <t>7:23</t>
        </is>
      </c>
      <c r="C274" t="inlineStr">
        <is>
          <t>drive motivation. Now there are lots of different 
intrinsic motivators, but from a motivation</t>
        </is>
      </c>
      <c r="D274">
        <f>HYPERLINK("https://www.youtube.com/watch?v=QvHne-U4lcw&amp;t=443s", "Go to time")</f>
        <v/>
      </c>
    </row>
    <row r="275">
      <c r="A275">
        <f>HYPERLINK("https://www.youtube.com/watch?v=1AqUYejDdmU", "Video")</f>
        <v/>
      </c>
      <c r="B275" t="inlineStr">
        <is>
          <t>0:26</t>
        </is>
      </c>
      <c r="C275" t="inlineStr">
        <is>
          <t>Just like hunger drives you to food</t>
        </is>
      </c>
      <c r="D275">
        <f>HYPERLINK("https://www.youtube.com/watch?v=1AqUYejDdmU&amp;t=26s", "Go to time")</f>
        <v/>
      </c>
    </row>
    <row r="276">
      <c r="A276">
        <f>HYPERLINK("https://www.youtube.com/watch?v=1AqUYejDdmU", "Video")</f>
        <v/>
      </c>
      <c r="B276" t="inlineStr">
        <is>
          <t>0:28</t>
        </is>
      </c>
      <c r="C276" t="inlineStr">
        <is>
          <t>and lust drives you to sex,</t>
        </is>
      </c>
      <c r="D276">
        <f>HYPERLINK("https://www.youtube.com/watch?v=1AqUYejDdmU&amp;t=28s", "Go to time")</f>
        <v/>
      </c>
    </row>
    <row r="277">
      <c r="A277">
        <f>HYPERLINK("https://www.youtube.com/watch?v=6bWC5pdso68", "Video")</f>
        <v/>
      </c>
      <c r="B277" t="inlineStr">
        <is>
          <t>13:22</t>
        </is>
      </c>
      <c r="C277" t="inlineStr">
        <is>
          <t>our moral intuitions are driven by gut</t>
        </is>
      </c>
      <c r="D277">
        <f>HYPERLINK("https://www.youtube.com/watch?v=6bWC5pdso68&amp;t=802s", "Go to time")</f>
        <v/>
      </c>
    </row>
    <row r="278">
      <c r="A278">
        <f>HYPERLINK("https://www.youtube.com/watch?v=k0mw7Vp0tYI", "Video")</f>
        <v/>
      </c>
      <c r="B278" t="inlineStr">
        <is>
          <t>1:02</t>
        </is>
      </c>
      <c r="C278" t="inlineStr">
        <is>
          <t>This is driven by the great modern immigration
wave that's now about four or five decades</t>
        </is>
      </c>
      <c r="D278">
        <f>HYPERLINK("https://www.youtube.com/watch?v=k0mw7Vp0tYI&amp;t=62s", "Go to time")</f>
        <v/>
      </c>
    </row>
    <row r="279">
      <c r="A279">
        <f>HYPERLINK("https://www.youtube.com/watch?v=eS875xBs1T4", "Video")</f>
        <v/>
      </c>
      <c r="B279" t="inlineStr">
        <is>
          <t>7:58</t>
        </is>
      </c>
      <c r="C279" t="inlineStr">
        <is>
          <t>When you have groups competing with groups
and helping drive social instincts by this</t>
        </is>
      </c>
      <c r="D279">
        <f>HYPERLINK("https://www.youtube.com/watch?v=eS875xBs1T4&amp;t=478s", "Go to time")</f>
        <v/>
      </c>
    </row>
    <row r="280">
      <c r="A280">
        <f>HYPERLINK("https://www.youtube.com/watch?v=eS875xBs1T4", "Video")</f>
        <v/>
      </c>
      <c r="B280" t="inlineStr">
        <is>
          <t>10:47</t>
        </is>
      </c>
      <c r="C280" t="inlineStr">
        <is>
          <t>behavior among people and between groups that
drives a lot of the best salience of the evolution</t>
        </is>
      </c>
      <c r="D280">
        <f>HYPERLINK("https://www.youtube.com/watch?v=eS875xBs1T4&amp;t=647s", "Go to time")</f>
        <v/>
      </c>
    </row>
    <row r="281">
      <c r="A281">
        <f>HYPERLINK("https://www.youtube.com/watch?v=cmmtg2Ec_MI", "Video")</f>
        <v/>
      </c>
      <c r="B281" t="inlineStr">
        <is>
          <t>2:02</t>
        </is>
      </c>
      <c r="C281" t="inlineStr">
        <is>
          <t>the way he drives his car you know and</t>
        </is>
      </c>
      <c r="D281">
        <f>HYPERLINK("https://www.youtube.com/watch?v=cmmtg2Ec_MI&amp;t=122s", "Go to time")</f>
        <v/>
      </c>
    </row>
    <row r="282">
      <c r="A282">
        <f>HYPERLINK("https://www.youtube.com/watch?v=cmmtg2Ec_MI", "Video")</f>
        <v/>
      </c>
      <c r="B282" t="inlineStr">
        <is>
          <t>2:08</t>
        </is>
      </c>
      <c r="C282" t="inlineStr">
        <is>
          <t>more risky drivers they drive at higher</t>
        </is>
      </c>
      <c r="D282">
        <f>HYPERLINK("https://www.youtube.com/watch?v=cmmtg2Ec_MI&amp;t=128s", "Go to time")</f>
        <v/>
      </c>
    </row>
    <row r="283">
      <c r="A283">
        <f>HYPERLINK("https://www.youtube.com/watch?v=Gy5hejk4vl4", "Video")</f>
        <v/>
      </c>
      <c r="B283" t="inlineStr">
        <is>
          <t>0:09</t>
        </is>
      </c>
      <c r="C283" t="inlineStr">
        <is>
          <t>which is that evolution would
drive animals to be selfish,</t>
        </is>
      </c>
      <c r="D283">
        <f>HYPERLINK("https://www.youtube.com/watch?v=Gy5hejk4vl4&amp;t=9s", "Go to time")</f>
        <v/>
      </c>
    </row>
    <row r="284">
      <c r="A284">
        <f>HYPERLINK("https://www.youtube.com/watch?v=UcdQ4dextvQ", "Video")</f>
        <v/>
      </c>
      <c r="B284" t="inlineStr">
        <is>
          <t>0:22</t>
        </is>
      </c>
      <c r="C284" t="inlineStr">
        <is>
          <t>accomplish are and then to drive with</t>
        </is>
      </c>
      <c r="D284">
        <f>HYPERLINK("https://www.youtube.com/watch?v=UcdQ4dextvQ&amp;t=22s", "Go to time")</f>
        <v/>
      </c>
    </row>
    <row r="285">
      <c r="A285">
        <f>HYPERLINK("https://www.youtube.com/watch?v=rJoHJNtb8Sw", "Video")</f>
        <v/>
      </c>
      <c r="B285" t="inlineStr">
        <is>
          <t>10:07</t>
        </is>
      </c>
      <c r="C285" t="inlineStr">
        <is>
          <t>actually drive the devils to extinction</t>
        </is>
      </c>
      <c r="D285">
        <f>HYPERLINK("https://www.youtube.com/watch?v=rJoHJNtb8Sw&amp;t=607s", "Go to time")</f>
        <v/>
      </c>
    </row>
    <row r="286">
      <c r="A286">
        <f>HYPERLINK("https://www.youtube.com/watch?v=7XU7QtC1VDg", "Video")</f>
        <v/>
      </c>
      <c r="B286" t="inlineStr">
        <is>
          <t>8:28</t>
        </is>
      </c>
      <c r="C286" t="inlineStr">
        <is>
          <t>that's what drives us in order to go out</t>
        </is>
      </c>
      <c r="D286">
        <f>HYPERLINK("https://www.youtube.com/watch?v=7XU7QtC1VDg&amp;t=508s", "Go to time")</f>
        <v/>
      </c>
    </row>
    <row r="287">
      <c r="A287">
        <f>HYPERLINK("https://www.youtube.com/watch?v=7XU7QtC1VDg", "Video")</f>
        <v/>
      </c>
      <c r="B287" t="inlineStr">
        <is>
          <t>29:53</t>
        </is>
      </c>
      <c r="C287" t="inlineStr">
        <is>
          <t>strong economic driver of growth in</t>
        </is>
      </c>
      <c r="D287">
        <f>HYPERLINK("https://www.youtube.com/watch?v=7XU7QtC1VDg&amp;t=1793s", "Go to time")</f>
        <v/>
      </c>
    </row>
    <row r="288">
      <c r="A288">
        <f>HYPERLINK("https://www.youtube.com/watch?v=7XU7QtC1VDg", "Video")</f>
        <v/>
      </c>
      <c r="B288" t="inlineStr">
        <is>
          <t>45:36</t>
        </is>
      </c>
      <c r="C288" t="inlineStr">
        <is>
          <t>driven to make money we're driven to</t>
        </is>
      </c>
      <c r="D288">
        <f>HYPERLINK("https://www.youtube.com/watch?v=7XU7QtC1VDg&amp;t=2736s", "Go to time")</f>
        <v/>
      </c>
    </row>
    <row r="289">
      <c r="A289">
        <f>HYPERLINK("https://www.youtube.com/watch?v=TMZxex_MX8g", "Video")</f>
        <v/>
      </c>
      <c r="B289" t="inlineStr">
        <is>
          <t>42:50</t>
        </is>
      </c>
      <c r="C289" t="inlineStr">
        <is>
          <t>uh and then he takes those and drives</t>
        </is>
      </c>
      <c r="D289">
        <f>HYPERLINK("https://www.youtube.com/watch?v=TMZxex_MX8g&amp;t=2570s", "Go to time")</f>
        <v/>
      </c>
    </row>
    <row r="290">
      <c r="A290">
        <f>HYPERLINK("https://www.youtube.com/watch?v=tH27qW3a49s", "Video")</f>
        <v/>
      </c>
      <c r="B290" t="inlineStr">
        <is>
          <t>1:02</t>
        </is>
      </c>
      <c r="C290" t="inlineStr">
        <is>
          <t>I've already driven by their house and</t>
        </is>
      </c>
      <c r="D290">
        <f>HYPERLINK("https://www.youtube.com/watch?v=tH27qW3a49s&amp;t=62s", "Go to time")</f>
        <v/>
      </c>
    </row>
    <row r="291">
      <c r="A291">
        <f>HYPERLINK("https://www.youtube.com/watch?v=EfdyRL3ELpo", "Video")</f>
        <v/>
      </c>
      <c r="B291" t="inlineStr">
        <is>
          <t>1:08</t>
        </is>
      </c>
      <c r="C291" t="inlineStr">
        <is>
          <t>to drive 45 minutes to an hour or more</t>
        </is>
      </c>
      <c r="D291">
        <f>HYPERLINK("https://www.youtube.com/watch?v=EfdyRL3ELpo&amp;t=68s", "Go to time")</f>
        <v/>
      </c>
    </row>
    <row r="292">
      <c r="A292">
        <f>HYPERLINK("https://www.youtube.com/watch?v=EfdyRL3ELpo", "Video")</f>
        <v/>
      </c>
      <c r="B292" t="inlineStr">
        <is>
          <t>2:17</t>
        </is>
      </c>
      <c r="C292" t="inlineStr">
        <is>
          <t>know realizing they can't drive their</t>
        </is>
      </c>
      <c r="D292">
        <f>HYPERLINK("https://www.youtube.com/watch?v=EfdyRL3ELpo&amp;t=137s", "Go to time")</f>
        <v/>
      </c>
    </row>
    <row r="293">
      <c r="A293">
        <f>HYPERLINK("https://www.youtube.com/watch?v=uMZ2dAMhJSM", "Video")</f>
        <v/>
      </c>
      <c r="B293" t="inlineStr">
        <is>
          <t>2:05</t>
        </is>
      </c>
      <c r="C293" t="inlineStr">
        <is>
          <t>and the most drivers the fastest.</t>
        </is>
      </c>
      <c r="D293">
        <f>HYPERLINK("https://www.youtube.com/watch?v=uMZ2dAMhJSM&amp;t=125s", "Go to time")</f>
        <v/>
      </c>
    </row>
    <row r="294">
      <c r="A294">
        <f>HYPERLINK("https://www.youtube.com/watch?v=uMZ2dAMhJSM", "Video")</f>
        <v/>
      </c>
      <c r="B294" t="inlineStr">
        <is>
          <t>5:28</t>
        </is>
      </c>
      <c r="C294" t="inlineStr">
        <is>
          <t>To know how much drivers are getting paid.</t>
        </is>
      </c>
      <c r="D294">
        <f>HYPERLINK("https://www.youtube.com/watch?v=uMZ2dAMhJSM&amp;t=328s", "Go to time")</f>
        <v/>
      </c>
    </row>
    <row r="295">
      <c r="A295">
        <f>HYPERLINK("https://www.youtube.com/watch?v=igP2ldUzA3M", "Video")</f>
        <v/>
      </c>
      <c r="B295" t="inlineStr">
        <is>
          <t>0:18</t>
        </is>
      </c>
      <c r="C295" t="inlineStr">
        <is>
          <t>We've brought you idea-driven video interviews
with thousands of global thought leaders.</t>
        </is>
      </c>
      <c r="D295">
        <f>HYPERLINK("https://www.youtube.com/watch?v=igP2ldUzA3M&amp;t=18s", "Go to time")</f>
        <v/>
      </c>
    </row>
    <row r="296">
      <c r="A296">
        <f>HYPERLINK("https://www.youtube.com/watch?v=YEZ-7FtT3P0", "Video")</f>
        <v/>
      </c>
      <c r="B296" t="inlineStr">
        <is>
          <t>2:28</t>
        </is>
      </c>
      <c r="C296" t="inlineStr">
        <is>
          <t>fast cars he liked to drive that he was</t>
        </is>
      </c>
      <c r="D296">
        <f>HYPERLINK("https://www.youtube.com/watch?v=YEZ-7FtT3P0&amp;t=148s", "Go to time")</f>
        <v/>
      </c>
    </row>
    <row r="297">
      <c r="A297">
        <f>HYPERLINK("https://www.youtube.com/watch?v=lXAYlpWaMZk", "Video")</f>
        <v/>
      </c>
      <c r="B297" t="inlineStr">
        <is>
          <t>2:37</t>
        </is>
      </c>
      <c r="C297" t="inlineStr">
        <is>
          <t>It may help drive us into flow.</t>
        </is>
      </c>
      <c r="D297">
        <f>HYPERLINK("https://www.youtube.com/watch?v=lXAYlpWaMZk&amp;t=157s", "Go to time")</f>
        <v/>
      </c>
    </row>
    <row r="298">
      <c r="A298">
        <f>HYPERLINK("https://www.youtube.com/watch?v=lXAYlpWaMZk", "Video")</f>
        <v/>
      </c>
      <c r="B298" t="inlineStr">
        <is>
          <t>5:20</t>
        </is>
      </c>
      <c r="C298" t="inlineStr">
        <is>
          <t>That's the biggest driver on evolution,</t>
        </is>
      </c>
      <c r="D298">
        <f>HYPERLINK("https://www.youtube.com/watch?v=lXAYlpWaMZk&amp;t=320s", "Go to time")</f>
        <v/>
      </c>
    </row>
    <row r="299">
      <c r="A299">
        <f>HYPERLINK("https://www.youtube.com/watch?v=eBUsmxM5r0I", "Video")</f>
        <v/>
      </c>
      <c r="B299" t="inlineStr">
        <is>
          <t>1:19</t>
        </is>
      </c>
      <c r="C299" t="inlineStr">
        <is>
          <t>For example, if you need
to get a driver's license</t>
        </is>
      </c>
      <c r="D299">
        <f>HYPERLINK("https://www.youtube.com/watch?v=eBUsmxM5r0I&amp;t=79s", "Go to time")</f>
        <v/>
      </c>
    </row>
    <row r="300">
      <c r="A300">
        <f>HYPERLINK("https://www.youtube.com/watch?v=eBUsmxM5r0I", "Video")</f>
        <v/>
      </c>
      <c r="B300" t="inlineStr">
        <is>
          <t>1:25</t>
        </is>
      </c>
      <c r="C300" t="inlineStr">
        <is>
          <t>You shouldn't get a driver's license</t>
        </is>
      </c>
      <c r="D300">
        <f>HYPERLINK("https://www.youtube.com/watch?v=eBUsmxM5r0I&amp;t=85s", "Go to time")</f>
        <v/>
      </c>
    </row>
    <row r="301">
      <c r="A301">
        <f>HYPERLINK("https://www.youtube.com/watch?v=3xA97JAdmjk", "Video")</f>
        <v/>
      </c>
      <c r="B301" t="inlineStr">
        <is>
          <t>0:31</t>
        </is>
      </c>
      <c r="C301" t="inlineStr">
        <is>
          <t>think probably drive people back to back</t>
        </is>
      </c>
      <c r="D301">
        <f>HYPERLINK("https://www.youtube.com/watch?v=3xA97JAdmjk&amp;t=31s", "Go to time")</f>
        <v/>
      </c>
    </row>
    <row r="302">
      <c r="A302">
        <f>HYPERLINK("https://www.youtube.com/watch?v=VqxFulNRBEk", "Video")</f>
        <v/>
      </c>
      <c r="B302" t="inlineStr">
        <is>
          <t>3:55</t>
        </is>
      </c>
      <c r="C302" t="inlineStr">
        <is>
          <t>Voice driven that you can't make</t>
        </is>
      </c>
      <c r="D302">
        <f>HYPERLINK("https://www.youtube.com/watch?v=VqxFulNRBEk&amp;t=235s", "Go to time")</f>
        <v/>
      </c>
    </row>
    <row r="303">
      <c r="A303">
        <f>HYPERLINK("https://www.youtube.com/watch?v=y2KvwXbQYRk", "Video")</f>
        <v/>
      </c>
      <c r="B303" t="inlineStr">
        <is>
          <t>2:48</t>
        </is>
      </c>
      <c r="C303" t="inlineStr">
        <is>
          <t>that could put truck drivers
out of work in the future.</t>
        </is>
      </c>
      <c r="D303">
        <f>HYPERLINK("https://www.youtube.com/watch?v=y2KvwXbQYRk&amp;t=168s", "Go to time")</f>
        <v/>
      </c>
    </row>
    <row r="304">
      <c r="A304">
        <f>HYPERLINK("https://www.youtube.com/watch?v=y2KvwXbQYRk", "Video")</f>
        <v/>
      </c>
      <c r="B304" t="inlineStr">
        <is>
          <t>2:56</t>
        </is>
      </c>
      <c r="C304" t="inlineStr">
        <is>
          <t>in offices and businesses,
not truck drivers.</t>
        </is>
      </c>
      <c r="D304">
        <f>HYPERLINK("https://www.youtube.com/watch?v=y2KvwXbQYRk&amp;t=176s", "Go to time")</f>
        <v/>
      </c>
    </row>
    <row r="305">
      <c r="A305">
        <f>HYPERLINK("https://www.youtube.com/watch?v=bPk1tuIBj18", "Video")</f>
        <v/>
      </c>
      <c r="B305" t="inlineStr">
        <is>
          <t>1:28</t>
        </is>
      </c>
      <c r="C305" t="inlineStr">
        <is>
          <t>If we were able to do away with
them, to drive them to zero,</t>
        </is>
      </c>
      <c r="D305">
        <f>HYPERLINK("https://www.youtube.com/watch?v=bPk1tuIBj18&amp;t=88s", "Go to time")</f>
        <v/>
      </c>
    </row>
    <row r="306">
      <c r="A306">
        <f>HYPERLINK("https://www.youtube.com/watch?v=F4Ae2Lb5VLw", "Video")</f>
        <v/>
      </c>
      <c r="B306" t="inlineStr">
        <is>
          <t>6:18</t>
        </is>
      </c>
      <c r="C306" t="inlineStr">
        <is>
          <t>it gets back to this notion that this is an
interest-driven phenomenon that unleashes</t>
        </is>
      </c>
      <c r="D306">
        <f>HYPERLINK("https://www.youtube.com/watch?v=F4Ae2Lb5VLw&amp;t=378s", "Go to time")</f>
        <v/>
      </c>
    </row>
    <row r="307">
      <c r="A307">
        <f>HYPERLINK("https://www.youtube.com/watch?v=PpyIZ4DGIK8", "Video")</f>
        <v/>
      </c>
      <c r="B307" t="inlineStr">
        <is>
          <t>3:14</t>
        </is>
      </c>
      <c r="C307" t="inlineStr">
        <is>
          <t>He drives around the
neighborhood taking pictures</t>
        </is>
      </c>
      <c r="D307">
        <f>HYPERLINK("https://www.youtube.com/watch?v=PpyIZ4DGIK8&amp;t=194s", "Go to time")</f>
        <v/>
      </c>
    </row>
    <row r="308">
      <c r="A308">
        <f>HYPERLINK("https://www.youtube.com/watch?v=cVLpdzhcU0g", "Video")</f>
        <v/>
      </c>
      <c r="B308" t="inlineStr">
        <is>
          <t>12:08</t>
        </is>
      </c>
      <c r="C308" t="inlineStr">
        <is>
          <t>connections that bind people together or the
differences that drive them apart and about</t>
        </is>
      </c>
      <c r="D308">
        <f>HYPERLINK("https://www.youtube.com/watch?v=cVLpdzhcU0g&amp;t=728s", "Go to time")</f>
        <v/>
      </c>
    </row>
    <row r="309">
      <c r="A309">
        <f>HYPERLINK("https://www.youtube.com/watch?v=cVLpdzhcU0g", "Video")</f>
        <v/>
      </c>
      <c r="B309" t="inlineStr">
        <is>
          <t>58:27</t>
        </is>
      </c>
      <c r="C309" t="inlineStr">
        <is>
          <t>at all.  You’ve learned many of these things
already.  You learned how to drive a car,</t>
        </is>
      </c>
      <c r="D309">
        <f>HYPERLINK("https://www.youtube.com/watch?v=cVLpdzhcU0g&amp;t=3507s", "Go to time")</f>
        <v/>
      </c>
    </row>
    <row r="310">
      <c r="A310">
        <f>HYPERLINK("https://www.youtube.com/watch?v=ieBEEYsrNSQ", "Video")</f>
        <v/>
      </c>
      <c r="B310" t="inlineStr">
        <is>
          <t>5:58</t>
        </is>
      </c>
      <c r="C310" t="inlineStr">
        <is>
          <t>Shovel their driveway.</t>
        </is>
      </c>
      <c r="D310">
        <f>HYPERLINK("https://www.youtube.com/watch?v=ieBEEYsrNSQ&amp;t=358s", "Go to time")</f>
        <v/>
      </c>
    </row>
    <row r="311">
      <c r="A311">
        <f>HYPERLINK("https://www.youtube.com/watch?v=cgo93Khb7vM", "Video")</f>
        <v/>
      </c>
      <c r="B311" t="inlineStr">
        <is>
          <t>5:47</t>
        </is>
      </c>
      <c r="C311" t="inlineStr">
        <is>
          <t>Because humans have driven
so many of these species</t>
        </is>
      </c>
      <c r="D311">
        <f>HYPERLINK("https://www.youtube.com/watch?v=cgo93Khb7vM&amp;t=347s", "Go to time")</f>
        <v/>
      </c>
    </row>
    <row r="312">
      <c r="A312">
        <f>HYPERLINK("https://www.youtube.com/watch?v=8tMPtlMwZz4", "Video")</f>
        <v/>
      </c>
      <c r="B312" t="inlineStr">
        <is>
          <t>25:54</t>
        </is>
      </c>
      <c r="C312" t="inlineStr">
        <is>
          <t>tanks run on electric drives let's make</t>
        </is>
      </c>
      <c r="D312">
        <f>HYPERLINK("https://www.youtube.com/watch?v=8tMPtlMwZz4&amp;t=1554s", "Go to time")</f>
        <v/>
      </c>
    </row>
    <row r="313">
      <c r="A313">
        <f>HYPERLINK("https://www.youtube.com/watch?v=8tMPtlMwZz4", "Video")</f>
        <v/>
      </c>
      <c r="B313" t="inlineStr">
        <is>
          <t>25:57</t>
        </is>
      </c>
      <c r="C313" t="inlineStr">
        <is>
          <t>Jeeps run on electric drives and let's</t>
        </is>
      </c>
      <c r="D313">
        <f>HYPERLINK("https://www.youtube.com/watch?v=8tMPtlMwZz4&amp;t=1557s", "Go to time")</f>
        <v/>
      </c>
    </row>
    <row r="314">
      <c r="A314">
        <f>HYPERLINK("https://www.youtube.com/watch?v=8tMPtlMwZz4", "Video")</f>
        <v/>
      </c>
      <c r="B314" t="inlineStr">
        <is>
          <t>26:53</t>
        </is>
      </c>
      <c r="C314" t="inlineStr">
        <is>
          <t>Electric drivetrains in all of our</t>
        </is>
      </c>
      <c r="D314">
        <f>HYPERLINK("https://www.youtube.com/watch?v=8tMPtlMwZz4&amp;t=1613s", "Go to time")</f>
        <v/>
      </c>
    </row>
    <row r="315">
      <c r="A315">
        <f>HYPERLINK("https://www.youtube.com/watch?v=sydha1suOvY", "Video")</f>
        <v/>
      </c>
      <c r="B315" t="inlineStr">
        <is>
          <t>0:43</t>
        </is>
      </c>
      <c r="C315" t="inlineStr">
        <is>
          <t>Our brains are driven</t>
        </is>
      </c>
      <c r="D315">
        <f>HYPERLINK("https://www.youtube.com/watch?v=sydha1suOvY&amp;t=43s", "Go to time")</f>
        <v/>
      </c>
    </row>
    <row r="316">
      <c r="A316">
        <f>HYPERLINK("https://www.youtube.com/watch?v=sydha1suOvY", "Video")</f>
        <v/>
      </c>
      <c r="B316" t="inlineStr">
        <is>
          <t>0:47</t>
        </is>
      </c>
      <c r="C316" t="inlineStr">
        <is>
          <t>and our brains are also driven</t>
        </is>
      </c>
      <c r="D316">
        <f>HYPERLINK("https://www.youtube.com/watch?v=sydha1suOvY&amp;t=47s", "Go to time")</f>
        <v/>
      </c>
    </row>
    <row r="317">
      <c r="A317">
        <f>HYPERLINK("https://www.youtube.com/watch?v=sydha1suOvY", "Video")</f>
        <v/>
      </c>
      <c r="B317" t="inlineStr">
        <is>
          <t>5:19</t>
        </is>
      </c>
      <c r="C317" t="inlineStr">
        <is>
          <t>as a major driver in our modern politics.</t>
        </is>
      </c>
      <c r="D317">
        <f>HYPERLINK("https://www.youtube.com/watch?v=sydha1suOvY&amp;t=319s", "Go to time")</f>
        <v/>
      </c>
    </row>
    <row r="318">
      <c r="A318">
        <f>HYPERLINK("https://www.youtube.com/watch?v=VxtU29X-ZrE", "Video")</f>
        <v/>
      </c>
      <c r="B318" t="inlineStr">
        <is>
          <t>2:26</t>
        </is>
      </c>
      <c r="C318" t="inlineStr">
        <is>
          <t>there tends to be a level of inertia that's
driven by regulators, pharmaceutical development</t>
        </is>
      </c>
      <c r="D318">
        <f>HYPERLINK("https://www.youtube.com/watch?v=VxtU29X-ZrE&amp;t=146s", "Go to time")</f>
        <v/>
      </c>
    </row>
    <row r="319">
      <c r="A319">
        <f>HYPERLINK("https://www.youtube.com/watch?v=VxtU29X-ZrE", "Video")</f>
        <v/>
      </c>
      <c r="B319" t="inlineStr">
        <is>
          <t>2:49</t>
        </is>
      </c>
      <c r="C319" t="inlineStr">
        <is>
          <t>innovation and achievement and drive some
of these exponential improvements, if you</t>
        </is>
      </c>
      <c r="D319">
        <f>HYPERLINK("https://www.youtube.com/watch?v=VxtU29X-ZrE&amp;t=169s", "Go to time")</f>
        <v/>
      </c>
    </row>
    <row r="320">
      <c r="A320">
        <f>HYPERLINK("https://www.youtube.com/watch?v=HrZqtJH0dhc", "Video")</f>
        <v/>
      </c>
      <c r="B320" t="inlineStr">
        <is>
          <t>0:59</t>
        </is>
      </c>
      <c r="C320" t="inlineStr">
        <is>
          <t>as cherry-picked or driven by hedonics</t>
        </is>
      </c>
      <c r="D320">
        <f>HYPERLINK("https://www.youtube.com/watch?v=HrZqtJH0dhc&amp;t=59s", "Go to time")</f>
        <v/>
      </c>
    </row>
    <row r="321">
      <c r="A321">
        <f>HYPERLINK("https://www.youtube.com/watch?v=KDSgqOCE8Os", "Video")</f>
        <v/>
      </c>
      <c r="B321" t="inlineStr">
        <is>
          <t>6:18</t>
        </is>
      </c>
      <c r="C321" t="inlineStr">
        <is>
          <t>embodied uh drive or push sometimes that</t>
        </is>
      </c>
      <c r="D321">
        <f>HYPERLINK("https://www.youtube.com/watch?v=KDSgqOCE8Os&amp;t=378s", "Go to time")</f>
        <v/>
      </c>
    </row>
    <row r="322">
      <c r="A322">
        <f>HYPERLINK("https://www.youtube.com/watch?v=vGJLLcPUBl0", "Video")</f>
        <v/>
      </c>
      <c r="B322" t="inlineStr">
        <is>
          <t>0:30</t>
        </is>
      </c>
      <c r="C322" t="inlineStr">
        <is>
          <t>generation cuz a lot of TV is driven by</t>
        </is>
      </c>
      <c r="D322">
        <f>HYPERLINK("https://www.youtube.com/watch?v=vGJLLcPUBl0&amp;t=30s", "Go to time")</f>
        <v/>
      </c>
    </row>
    <row r="323">
      <c r="A323">
        <f>HYPERLINK("https://www.youtube.com/watch?v=2ZcQIVsGNbY", "Video")</f>
        <v/>
      </c>
      <c r="B323" t="inlineStr">
        <is>
          <t>1:34</t>
        </is>
      </c>
      <c r="C323" t="inlineStr">
        <is>
          <t>drives the strategy right into the dirt</t>
        </is>
      </c>
      <c r="D323">
        <f>HYPERLINK("https://www.youtube.com/watch?v=2ZcQIVsGNbY&amp;t=94s", "Go to time")</f>
        <v/>
      </c>
    </row>
    <row r="324">
      <c r="A324">
        <f>HYPERLINK("https://www.youtube.com/watch?v=Z_RVvxO-Ifo", "Video")</f>
        <v/>
      </c>
      <c r="B324" t="inlineStr">
        <is>
          <t>0:59</t>
        </is>
      </c>
      <c r="C324" t="inlineStr">
        <is>
          <t>driven steel and Autos kind of economy</t>
        </is>
      </c>
      <c r="D324">
        <f>HYPERLINK("https://www.youtube.com/watch?v=Z_RVvxO-Ifo&amp;t=59s", "Go to time")</f>
        <v/>
      </c>
    </row>
    <row r="325">
      <c r="A325">
        <f>HYPERLINK("https://www.youtube.com/watch?v=Z_RVvxO-Ifo", "Video")</f>
        <v/>
      </c>
      <c r="B325" t="inlineStr">
        <is>
          <t>4:06</t>
        </is>
      </c>
      <c r="C325" t="inlineStr">
        <is>
          <t>class that is helping to drive</t>
        </is>
      </c>
      <c r="D325">
        <f>HYPERLINK("https://www.youtube.com/watch?v=Z_RVvxO-Ifo&amp;t=246s", "Go to time")</f>
        <v/>
      </c>
    </row>
    <row r="326">
      <c r="A326">
        <f>HYPERLINK("https://www.youtube.com/watch?v=Z_RVvxO-Ifo", "Video")</f>
        <v/>
      </c>
      <c r="B326" t="inlineStr">
        <is>
          <t>7:48</t>
        </is>
      </c>
      <c r="C326" t="inlineStr">
        <is>
          <t>to eat and drive things and and we need</t>
        </is>
      </c>
      <c r="D326">
        <f>HYPERLINK("https://www.youtube.com/watch?v=Z_RVvxO-Ifo&amp;t=468s", "Go to time")</f>
        <v/>
      </c>
    </row>
    <row r="327">
      <c r="A327">
        <f>HYPERLINK("https://www.youtube.com/watch?v=Z_RVvxO-Ifo", "Video")</f>
        <v/>
      </c>
      <c r="B327" t="inlineStr">
        <is>
          <t>23:33</t>
        </is>
      </c>
      <c r="C327" t="inlineStr">
        <is>
          <t>driven creative worker well the</t>
        </is>
      </c>
      <c r="D327">
        <f>HYPERLINK("https://www.youtube.com/watch?v=Z_RVvxO-Ifo&amp;t=1413s", "Go to time")</f>
        <v/>
      </c>
    </row>
    <row r="328">
      <c r="A328">
        <f>HYPERLINK("https://www.youtube.com/watch?v=Z_RVvxO-Ifo", "Video")</f>
        <v/>
      </c>
      <c r="B328" t="inlineStr">
        <is>
          <t>34:50</t>
        </is>
      </c>
      <c r="C328" t="inlineStr">
        <is>
          <t>and it's not ideologically driven it's</t>
        </is>
      </c>
      <c r="D328">
        <f>HYPERLINK("https://www.youtube.com/watch?v=Z_RVvxO-Ifo&amp;t=2090s", "Go to time")</f>
        <v/>
      </c>
    </row>
    <row r="329">
      <c r="A329">
        <f>HYPERLINK("https://www.youtube.com/watch?v=Z_RVvxO-Ifo", "Video")</f>
        <v/>
      </c>
      <c r="B329" t="inlineStr">
        <is>
          <t>57:41</t>
        </is>
      </c>
      <c r="C329" t="inlineStr">
        <is>
          <t>it seems to me that's the core driver</t>
        </is>
      </c>
      <c r="D329">
        <f>HYPERLINK("https://www.youtube.com/watch?v=Z_RVvxO-Ifo&amp;t=3461s", "Go to time")</f>
        <v/>
      </c>
    </row>
    <row r="330">
      <c r="A330">
        <f>HYPERLINK("https://www.youtube.com/watch?v=tcmr4gvVyAc", "Video")</f>
        <v/>
      </c>
      <c r="B330" t="inlineStr">
        <is>
          <t>2:59</t>
        </is>
      </c>
      <c r="C330" t="inlineStr">
        <is>
          <t>ejection of status drives a lot of</t>
        </is>
      </c>
      <c r="D330">
        <f>HYPERLINK("https://www.youtube.com/watch?v=tcmr4gvVyAc&amp;t=179s", "Go to time")</f>
        <v/>
      </c>
    </row>
    <row r="331">
      <c r="A331">
        <f>HYPERLINK("https://www.youtube.com/watch?v=tcmr4gvVyAc", "Video")</f>
        <v/>
      </c>
      <c r="B331" t="inlineStr">
        <is>
          <t>4:04</t>
        </is>
      </c>
      <c r="C331" t="inlineStr">
        <is>
          <t>in their status drives a lot of the</t>
        </is>
      </c>
      <c r="D331">
        <f>HYPERLINK("https://www.youtube.com/watch?v=tcmr4gvVyAc&amp;t=244s", "Go to time")</f>
        <v/>
      </c>
    </row>
    <row r="332">
      <c r="A332">
        <f>HYPERLINK("https://www.youtube.com/watch?v=iolIgufroLo", "Video")</f>
        <v/>
      </c>
      <c r="B332" t="inlineStr">
        <is>
          <t>40:20</t>
        </is>
      </c>
      <c r="C332" t="inlineStr">
        <is>
          <t>often what drives me today you know as a</t>
        </is>
      </c>
      <c r="D332">
        <f>HYPERLINK("https://www.youtube.com/watch?v=iolIgufroLo&amp;t=2420s", "Go to time")</f>
        <v/>
      </c>
    </row>
    <row r="333">
      <c r="A333">
        <f>HYPERLINK("https://www.youtube.com/watch?v=NoIQlliMC-Q", "Video")</f>
        <v/>
      </c>
      <c r="B333" t="inlineStr">
        <is>
          <t>25:34</t>
        </is>
      </c>
      <c r="C333" t="inlineStr">
        <is>
          <t>and that drives all the
producers to stay in business</t>
        </is>
      </c>
      <c r="D333">
        <f>HYPERLINK("https://www.youtube.com/watch?v=NoIQlliMC-Q&amp;t=1534s", "Go to time")</f>
        <v/>
      </c>
    </row>
    <row r="334">
      <c r="A334">
        <f>HYPERLINK("https://www.youtube.com/watch?v=7bquxJYC9DA", "Video")</f>
        <v/>
      </c>
      <c r="B334" t="inlineStr">
        <is>
          <t>11:53</t>
        </is>
      </c>
      <c r="C334" t="inlineStr">
        <is>
          <t>factories you see all these drivetrains</t>
        </is>
      </c>
      <c r="D334">
        <f>HYPERLINK("https://www.youtube.com/watch?v=7bquxJYC9DA&amp;t=713s", "Go to time")</f>
        <v/>
      </c>
    </row>
    <row r="335">
      <c r="A335">
        <f>HYPERLINK("https://www.youtube.com/watch?v=7bquxJYC9DA", "Video")</f>
        <v/>
      </c>
      <c r="B335" t="inlineStr">
        <is>
          <t>12:02</t>
        </is>
      </c>
      <c r="C335" t="inlineStr">
        <is>
          <t>drivetrain and then in the Next Room at</t>
        </is>
      </c>
      <c r="D335">
        <f>HYPERLINK("https://www.youtube.com/watch?v=7bquxJYC9DA&amp;t=722s", "Go to time")</f>
        <v/>
      </c>
    </row>
    <row r="336">
      <c r="A336">
        <f>HYPERLINK("https://www.youtube.com/watch?v=7bquxJYC9DA", "Video")</f>
        <v/>
      </c>
      <c r="B336" t="inlineStr">
        <is>
          <t>12:04</t>
        </is>
      </c>
      <c r="C336" t="inlineStr">
        <is>
          <t>the other end of the drivetrain uh was</t>
        </is>
      </c>
      <c r="D336">
        <f>HYPERLINK("https://www.youtube.com/watch?v=7bquxJYC9DA&amp;t=724s", "Go to time")</f>
        <v/>
      </c>
    </row>
    <row r="337">
      <c r="A337">
        <f>HYPERLINK("https://www.youtube.com/watch?v=660oel93vZA", "Video")</f>
        <v/>
      </c>
      <c r="B337" t="inlineStr">
        <is>
          <t>4:15</t>
        </is>
      </c>
      <c r="C337" t="inlineStr">
        <is>
          <t>broader and it's being driven by</t>
        </is>
      </c>
      <c r="D337">
        <f>HYPERLINK("https://www.youtube.com/watch?v=660oel93vZA&amp;t=255s", "Go to time")</f>
        <v/>
      </c>
    </row>
    <row r="338">
      <c r="A338">
        <f>HYPERLINK("https://www.youtube.com/watch?v=18tPNgru25s", "Video")</f>
        <v/>
      </c>
      <c r="B338" t="inlineStr">
        <is>
          <t>9:42</t>
        </is>
      </c>
      <c r="C338" t="inlineStr">
        <is>
          <t>you drive and drink glasses of water and</t>
        </is>
      </c>
      <c r="D338">
        <f>HYPERLINK("https://www.youtube.com/watch?v=18tPNgru25s&amp;t=582s", "Go to time")</f>
        <v/>
      </c>
    </row>
    <row r="339">
      <c r="A339">
        <f>HYPERLINK("https://www.youtube.com/watch?v=eHCOuqrZx18", "Video")</f>
        <v/>
      </c>
      <c r="B339" t="inlineStr">
        <is>
          <t>5:48</t>
        </is>
      </c>
      <c r="C339" t="inlineStr">
        <is>
          <t>buying it like digital gold, that will 
drive the price higher, but if the price</t>
        </is>
      </c>
      <c r="D339">
        <f>HYPERLINK("https://www.youtube.com/watch?v=eHCOuqrZx18&amp;t=348s", "Go to time")</f>
        <v/>
      </c>
    </row>
    <row r="340">
      <c r="A340">
        <f>HYPERLINK("https://www.youtube.com/watch?v=eHCOuqrZx18", "Video")</f>
        <v/>
      </c>
      <c r="B340" t="inlineStr">
        <is>
          <t>7:15</t>
        </is>
      </c>
      <c r="C340" t="inlineStr">
        <is>
          <t>largely driven by the volume of buyers. So if 
there are large volumes of buyers coming into</t>
        </is>
      </c>
      <c r="D340">
        <f>HYPERLINK("https://www.youtube.com/watch?v=eHCOuqrZx18&amp;t=435s", "Go to time")</f>
        <v/>
      </c>
    </row>
    <row r="341">
      <c r="A341">
        <f>HYPERLINK("https://www.youtube.com/watch?v=eHCOuqrZx18", "Video")</f>
        <v/>
      </c>
      <c r="B341" t="inlineStr">
        <is>
          <t>7:20</t>
        </is>
      </c>
      <c r="C341" t="inlineStr">
        <is>
          <t>the market, it drives the price higher because 
there are not a lot of sellers. But if the buyers</t>
        </is>
      </c>
      <c r="D341">
        <f>HYPERLINK("https://www.youtube.com/watch?v=eHCOuqrZx18&amp;t=440s", "Go to time")</f>
        <v/>
      </c>
    </row>
    <row r="342">
      <c r="A342">
        <f>HYPERLINK("https://www.youtube.com/watch?v=eHCOuqrZx18", "Video")</f>
        <v/>
      </c>
      <c r="B342" t="inlineStr">
        <is>
          <t>8:01</t>
        </is>
      </c>
      <c r="C342" t="inlineStr">
        <is>
          <t>which will create a really positive feedback 
loop, which should drive the price even higher.</t>
        </is>
      </c>
      <c r="D342">
        <f>HYPERLINK("https://www.youtube.com/watch?v=eHCOuqrZx18&amp;t=481s", "Go to time")</f>
        <v/>
      </c>
    </row>
    <row r="343">
      <c r="A343">
        <f>HYPERLINK("https://www.youtube.com/watch?v=3352JfO2_DM", "Video")</f>
        <v/>
      </c>
      <c r="B343" t="inlineStr">
        <is>
          <t>3:46</t>
        </is>
      </c>
      <c r="C343" t="inlineStr">
        <is>
          <t>and drive action.</t>
        </is>
      </c>
      <c r="D343">
        <f>HYPERLINK("https://www.youtube.com/watch?v=3352JfO2_DM&amp;t=226s", "Go to time")</f>
        <v/>
      </c>
    </row>
    <row r="344">
      <c r="A344">
        <f>HYPERLINK("https://www.youtube.com/watch?v=vnzNSG5HwWM", "Video")</f>
        <v/>
      </c>
      <c r="B344" t="inlineStr">
        <is>
          <t>2:22</t>
        </is>
      </c>
      <c r="C344" t="inlineStr">
        <is>
          <t>driven by the needs of our corporate and</t>
        </is>
      </c>
      <c r="D344">
        <f>HYPERLINK("https://www.youtube.com/watch?v=vnzNSG5HwWM&amp;t=142s", "Go to time")</f>
        <v/>
      </c>
    </row>
    <row r="345">
      <c r="A345">
        <f>HYPERLINK("https://www.youtube.com/watch?v=QvrMNDv6iYU", "Video")</f>
        <v/>
      </c>
      <c r="B345" t="inlineStr">
        <is>
          <t>0:15</t>
        </is>
      </c>
      <c r="C345" t="inlineStr">
        <is>
          <t>They don't get a driver's
license as often.</t>
        </is>
      </c>
      <c r="D345">
        <f>HYPERLINK("https://www.youtube.com/watch?v=QvrMNDv6iYU&amp;t=15s", "Go to time")</f>
        <v/>
      </c>
    </row>
    <row r="346">
      <c r="A346">
        <f>HYPERLINK("https://www.youtube.com/watch?v=PrpuBFkzBO4", "Video")</f>
        <v/>
      </c>
      <c r="B346" t="inlineStr">
        <is>
          <t>3:24</t>
        </is>
      </c>
      <c r="C346" t="inlineStr">
        <is>
          <t>Huge advances really are
driven by experimentation.</t>
        </is>
      </c>
      <c r="D346">
        <f>HYPERLINK("https://www.youtube.com/watch?v=PrpuBFkzBO4&amp;t=204s", "Go to time")</f>
        <v/>
      </c>
    </row>
    <row r="347">
      <c r="A347">
        <f>HYPERLINK("https://www.youtube.com/watch?v=RhhzVfeqINY", "Video")</f>
        <v/>
      </c>
      <c r="B347" t="inlineStr">
        <is>
          <t>1:26</t>
        </is>
      </c>
      <c r="C347" t="inlineStr">
        <is>
          <t>would be driven into the sea.</t>
        </is>
      </c>
      <c r="D347">
        <f>HYPERLINK("https://www.youtube.com/watch?v=RhhzVfeqINY&amp;t=86s", "Go to time")</f>
        <v/>
      </c>
    </row>
    <row r="348">
      <c r="A348">
        <f>HYPERLINK("https://www.youtube.com/watch?v=znwUCNrjpD4", "Video")</f>
        <v/>
      </c>
      <c r="B348" t="inlineStr">
        <is>
          <t>3:55</t>
        </is>
      </c>
      <c r="C348" t="inlineStr">
        <is>
          <t>They drive focus, 
they drive attention,</t>
        </is>
      </c>
      <c r="D348">
        <f>HYPERLINK("https://www.youtube.com/watch?v=znwUCNrjpD4&amp;t=235s", "Go to time")</f>
        <v/>
      </c>
    </row>
    <row r="349">
      <c r="A349">
        <f>HYPERLINK("https://www.youtube.com/watch?v=znwUCNrjpD4", "Video")</f>
        <v/>
      </c>
      <c r="B349" t="inlineStr">
        <is>
          <t>3:57</t>
        </is>
      </c>
      <c r="C349" t="inlineStr">
        <is>
          <t>they drive alertness 
and excitement,</t>
        </is>
      </c>
      <c r="D349">
        <f>HYPERLINK("https://www.youtube.com/watch?v=znwUCNrjpD4&amp;t=237s", "Go to time")</f>
        <v/>
      </c>
    </row>
    <row r="350">
      <c r="A350">
        <f>HYPERLINK("https://www.youtube.com/watch?v=znwUCNrjpD4", "Video")</f>
        <v/>
      </c>
      <c r="B350" t="inlineStr">
        <is>
          <t>4:44</t>
        </is>
      </c>
      <c r="C350" t="inlineStr">
        <is>
          <t>but now we know it's to
kind of drive motivation.</t>
        </is>
      </c>
      <c r="D350">
        <f>HYPERLINK("https://www.youtube.com/watch?v=znwUCNrjpD4&amp;t=284s", "Go to time")</f>
        <v/>
      </c>
    </row>
    <row r="351">
      <c r="A351">
        <f>HYPERLINK("https://www.youtube.com/watch?v=cr8sLxde1m8", "Video")</f>
        <v/>
      </c>
      <c r="B351" t="inlineStr">
        <is>
          <t>9:46</t>
        </is>
      </c>
      <c r="C351" t="inlineStr">
        <is>
          <t>got on the bus, and the bus driver shocked me. 
He looked at me and very warmly said, "Welcome</t>
        </is>
      </c>
      <c r="D351">
        <f>HYPERLINK("https://www.youtube.com/watch?v=cr8sLxde1m8&amp;t=586s", "Go to time")</f>
        <v/>
      </c>
    </row>
    <row r="352">
      <c r="A352">
        <f>HYPERLINK("https://www.youtube.com/watch?v=cr8sLxde1m8", "Video")</f>
        <v/>
      </c>
      <c r="B352" t="inlineStr">
        <is>
          <t>10:19</t>
        </is>
      </c>
      <c r="C352" t="inlineStr">
        <is>
          <t>Times about that bus driver. His name, it turned 
out, was Govan Brown. He had fans. People would</t>
        </is>
      </c>
      <c r="D352">
        <f>HYPERLINK("https://www.youtube.com/watch?v=cr8sLxde1m8&amp;t=619s", "Go to time")</f>
        <v/>
      </c>
    </row>
    <row r="353">
      <c r="A353">
        <f>HYPERLINK("https://www.youtube.com/watch?v=cr8sLxde1m8", "Video")</f>
        <v/>
      </c>
      <c r="B353" t="inlineStr">
        <is>
          <t>10:25</t>
        </is>
      </c>
      <c r="C353" t="inlineStr">
        <is>
          <t>wait for his bus. He got three thousand letters 
saying what a great bus driver he was, not one</t>
        </is>
      </c>
      <c r="D353">
        <f>HYPERLINK("https://www.youtube.com/watch?v=cr8sLxde1m8&amp;t=625s", "Go to time")</f>
        <v/>
      </c>
    </row>
    <row r="354">
      <c r="A354">
        <f>HYPERLINK("https://www.youtube.com/watch?v=2-8w6j3W9jU", "Video")</f>
        <v/>
      </c>
      <c r="B354" t="inlineStr">
        <is>
          <t>5:17</t>
        </is>
      </c>
      <c r="C354" t="inlineStr">
        <is>
          <t>drives us to do things which again</t>
        </is>
      </c>
      <c r="D354">
        <f>HYPERLINK("https://www.youtube.com/watch?v=2-8w6j3W9jU&amp;t=317s", "Go to time")</f>
        <v/>
      </c>
    </row>
    <row r="355">
      <c r="A355">
        <f>HYPERLINK("https://www.youtube.com/watch?v=2-8w6j3W9jU", "Video")</f>
        <v/>
      </c>
      <c r="B355" t="inlineStr">
        <is>
          <t>23:11</t>
        </is>
      </c>
      <c r="C355" t="inlineStr">
        <is>
          <t>model was driven through commercials and</t>
        </is>
      </c>
      <c r="D355">
        <f>HYPERLINK("https://www.youtube.com/watch?v=2-8w6j3W9jU&amp;t=1391s", "Go to time")</f>
        <v/>
      </c>
    </row>
    <row r="356">
      <c r="A356">
        <f>HYPERLINK("https://www.youtube.com/watch?v=2-8w6j3W9jU", "Video")</f>
        <v/>
      </c>
      <c r="B356" t="inlineStr">
        <is>
          <t>23:19</t>
        </is>
      </c>
      <c r="C356" t="inlineStr">
        <is>
          <t>what drives</t>
        </is>
      </c>
      <c r="D356">
        <f>HYPERLINK("https://www.youtube.com/watch?v=2-8w6j3W9jU&amp;t=1399s", "Go to time")</f>
        <v/>
      </c>
    </row>
    <row r="357">
      <c r="A357">
        <f>HYPERLINK("https://www.youtube.com/watch?v=Fbqib311QgA", "Video")</f>
        <v/>
      </c>
      <c r="B357" t="inlineStr">
        <is>
          <t>1:26</t>
        </is>
      </c>
      <c r="C357" t="inlineStr">
        <is>
          <t>driven learning thing and you find that</t>
        </is>
      </c>
      <c r="D357">
        <f>HYPERLINK("https://www.youtube.com/watch?v=Fbqib311QgA&amp;t=86s", "Go to time")</f>
        <v/>
      </c>
    </row>
    <row r="358">
      <c r="A358">
        <f>HYPERLINK("https://www.youtube.com/watch?v=zlU6uFQfCS4", "Video")</f>
        <v/>
      </c>
      <c r="B358" t="inlineStr">
        <is>
          <t>0:45</t>
        </is>
      </c>
      <c r="C358" t="inlineStr">
        <is>
          <t>number one sort of purchase driver for</t>
        </is>
      </c>
      <c r="D358">
        <f>HYPERLINK("https://www.youtube.com/watch?v=zlU6uFQfCS4&amp;t=45s", "Go to time")</f>
        <v/>
      </c>
    </row>
    <row r="359">
      <c r="A359">
        <f>HYPERLINK("https://www.youtube.com/watch?v=dt8jaBgDgOY", "Video")</f>
        <v/>
      </c>
      <c r="B359" t="inlineStr">
        <is>
          <t>25:28</t>
        </is>
      </c>
      <c r="C359" t="inlineStr">
        <is>
          <t>uh you know uh Drive insurance companies</t>
        </is>
      </c>
      <c r="D359">
        <f>HYPERLINK("https://www.youtube.com/watch?v=dt8jaBgDgOY&amp;t=1528s", "Go to time")</f>
        <v/>
      </c>
    </row>
    <row r="360">
      <c r="A360">
        <f>HYPERLINK("https://www.youtube.com/watch?v=dt8jaBgDgOY", "Video")</f>
        <v/>
      </c>
      <c r="B360" t="inlineStr">
        <is>
          <t>25:41</t>
        </is>
      </c>
      <c r="C360" t="inlineStr">
        <is>
          <t>enough to drive the direction of the</t>
        </is>
      </c>
      <c r="D360">
        <f>HYPERLINK("https://www.youtube.com/watch?v=dt8jaBgDgOY&amp;t=1541s", "Go to time")</f>
        <v/>
      </c>
    </row>
    <row r="361">
      <c r="A361">
        <f>HYPERLINK("https://www.youtube.com/watch?v=WIvMP7Tw0ac", "Video")</f>
        <v/>
      </c>
      <c r="B361" t="inlineStr">
        <is>
          <t>2:57</t>
        </is>
      </c>
      <c r="C361" t="inlineStr">
        <is>
          <t>switching which now drives the internet</t>
        </is>
      </c>
      <c r="D361">
        <f>HYPERLINK("https://www.youtube.com/watch?v=WIvMP7Tw0ac&amp;t=177s", "Go to time")</f>
        <v/>
      </c>
    </row>
    <row r="362">
      <c r="A362">
        <f>HYPERLINK("https://www.youtube.com/watch?v=nm0c-Sy6wGI", "Video")</f>
        <v/>
      </c>
      <c r="B362" t="inlineStr">
        <is>
          <t>0:22</t>
        </is>
      </c>
      <c r="C362" t="inlineStr">
        <is>
          <t>something, they will be driven to follow</t>
        </is>
      </c>
      <c r="D362">
        <f>HYPERLINK("https://www.youtube.com/watch?v=nm0c-Sy6wGI&amp;t=22s", "Go to time")</f>
        <v/>
      </c>
    </row>
    <row r="363">
      <c r="A363">
        <f>HYPERLINK("https://www.youtube.com/watch?v=nm0c-Sy6wGI", "Video")</f>
        <v/>
      </c>
      <c r="B363" t="inlineStr">
        <is>
          <t>0:47</t>
        </is>
      </c>
      <c r="C363" t="inlineStr">
        <is>
          <t>grants and you'll kind of just be driven</t>
        </is>
      </c>
      <c r="D363">
        <f>HYPERLINK("https://www.youtube.com/watch?v=nm0c-Sy6wGI&amp;t=47s", "Go to time")</f>
        <v/>
      </c>
    </row>
    <row r="364">
      <c r="A364">
        <f>HYPERLINK("https://www.youtube.com/watch?v=e0DV9kDHQVM", "Video")</f>
        <v/>
      </c>
      <c r="B364" t="inlineStr">
        <is>
          <t>1:57</t>
        </is>
      </c>
      <c r="C364" t="inlineStr">
        <is>
          <t>at how much that has exploded and how much
teachers have actually driven -- and students</t>
        </is>
      </c>
      <c r="D364">
        <f>HYPERLINK("https://www.youtube.com/watch?v=e0DV9kDHQVM&amp;t=117s", "Go to time")</f>
        <v/>
      </c>
    </row>
    <row r="365">
      <c r="A365">
        <f>HYPERLINK("https://www.youtube.com/watch?v=efQ0HaonE-A", "Video")</f>
        <v/>
      </c>
      <c r="B365" t="inlineStr">
        <is>
          <t>1:50</t>
        </is>
      </c>
      <c r="C365" t="inlineStr">
        <is>
          <t>that also drives them uh all the time</t>
        </is>
      </c>
      <c r="D365">
        <f>HYPERLINK("https://www.youtube.com/watch?v=efQ0HaonE-A&amp;t=110s", "Go to time")</f>
        <v/>
      </c>
    </row>
    <row r="366">
      <c r="A366">
        <f>HYPERLINK("https://www.youtube.com/watch?v=XhpdWDyB0UY", "Video")</f>
        <v/>
      </c>
      <c r="B366" t="inlineStr">
        <is>
          <t>2:07</t>
        </is>
      </c>
      <c r="C366" t="inlineStr">
        <is>
          <t>It literally drives you crazy.</t>
        </is>
      </c>
      <c r="D366">
        <f>HYPERLINK("https://www.youtube.com/watch?v=XhpdWDyB0UY&amp;t=127s", "Go to time")</f>
        <v/>
      </c>
    </row>
    <row r="367">
      <c r="A367">
        <f>HYPERLINK("https://www.youtube.com/watch?v=-kFamwkkxlE", "Video")</f>
        <v/>
      </c>
      <c r="B367" t="inlineStr">
        <is>
          <t>4:10</t>
        </is>
      </c>
      <c r="C367" t="inlineStr">
        <is>
          <t>That's the future of policing in New York.
It's a future that's data driven that looks</t>
        </is>
      </c>
      <c r="D367">
        <f>HYPERLINK("https://www.youtube.com/watch?v=-kFamwkkxlE&amp;t=250s", "Go to time")</f>
        <v/>
      </c>
    </row>
    <row r="368">
      <c r="A368">
        <f>HYPERLINK("https://www.youtube.com/watch?v=vJc7BhjwF8k", "Video")</f>
        <v/>
      </c>
      <c r="B368" t="inlineStr">
        <is>
          <t>1:26</t>
        </is>
      </c>
      <c r="C368" t="inlineStr">
        <is>
          <t>Im afraid as the future comes and especially
when you talk about cars that drive themselves.</t>
        </is>
      </c>
      <c r="D368">
        <f>HYPERLINK("https://www.youtube.com/watch?v=vJc7BhjwF8k&amp;t=86s", "Go to time")</f>
        <v/>
      </c>
    </row>
    <row r="369">
      <c r="A369">
        <f>HYPERLINK("https://www.youtube.com/watch?v=IsFShIWlSkE", "Video")</f>
        <v/>
      </c>
      <c r="B369" t="inlineStr">
        <is>
          <t>0:19</t>
        </is>
      </c>
      <c r="C369" t="inlineStr">
        <is>
          <t>are uh the whole world is driven by</t>
        </is>
      </c>
      <c r="D369">
        <f>HYPERLINK("https://www.youtube.com/watch?v=IsFShIWlSkE&amp;t=19s", "Go to time")</f>
        <v/>
      </c>
    </row>
    <row r="370">
      <c r="A370">
        <f>HYPERLINK("https://www.youtube.com/watch?v=rcNvFxk_gcs", "Video")</f>
        <v/>
      </c>
      <c r="B370" t="inlineStr">
        <is>
          <t>1:25</t>
        </is>
      </c>
      <c r="C370" t="inlineStr">
        <is>
          <t>leaders who were asking the question, ""What
do we know about what drives more impact?""</t>
        </is>
      </c>
      <c r="D370">
        <f>HYPERLINK("https://www.youtube.com/watch?v=rcNvFxk_gcs&amp;t=85s", "Go to time")</f>
        <v/>
      </c>
    </row>
    <row r="371">
      <c r="A371">
        <f>HYPERLINK("https://www.youtube.com/watch?v=rcNvFxk_gcs", "Video")</f>
        <v/>
      </c>
      <c r="B371" t="inlineStr">
        <is>
          <t>2:14</t>
        </is>
      </c>
      <c r="C371" t="inlineStr">
        <is>
          <t>others to come together and drive more impact
in the world.</t>
        </is>
      </c>
      <c r="D371">
        <f>HYPERLINK("https://www.youtube.com/watch?v=rcNvFxk_gcs&amp;t=134s", "Go to time")</f>
        <v/>
      </c>
    </row>
    <row r="372">
      <c r="A372">
        <f>HYPERLINK("https://www.youtube.com/watch?v=rcNvFxk_gcs", "Video")</f>
        <v/>
      </c>
      <c r="B372" t="inlineStr">
        <is>
          <t>4:10</t>
        </is>
      </c>
      <c r="C372" t="inlineStr">
        <is>
          <t>what will actually drive the kind of change
that we want to see in the world.</t>
        </is>
      </c>
      <c r="D372">
        <f>HYPERLINK("https://www.youtube.com/watch?v=rcNvFxk_gcs&amp;t=250s", "Go to time")</f>
        <v/>
      </c>
    </row>
    <row r="373">
      <c r="A373">
        <f>HYPERLINK("https://www.youtube.com/watch?v=rd8VHbIYqRs", "Video")</f>
        <v/>
      </c>
      <c r="B373" t="inlineStr">
        <is>
          <t>4:43</t>
        </is>
      </c>
      <c r="C373" t="inlineStr">
        <is>
          <t>expert-driven solution 
to everything,</t>
        </is>
      </c>
      <c r="D373">
        <f>HYPERLINK("https://www.youtube.com/watch?v=rd8VHbIYqRs&amp;t=283s", "Go to time")</f>
        <v/>
      </c>
    </row>
    <row r="374">
      <c r="A374">
        <f>HYPERLINK("https://www.youtube.com/watch?v=rd8VHbIYqRs", "Video")</f>
        <v/>
      </c>
      <c r="B374" t="inlineStr">
        <is>
          <t>4:52</t>
        </is>
      </c>
      <c r="C374" t="inlineStr">
        <is>
          <t>you can ever drive social change
under collective illusions</t>
        </is>
      </c>
      <c r="D374">
        <f>HYPERLINK("https://www.youtube.com/watch?v=rd8VHbIYqRs&amp;t=292s", "Go to time")</f>
        <v/>
      </c>
    </row>
    <row r="375">
      <c r="A375">
        <f>HYPERLINK("https://www.youtube.com/watch?v=MHQSfA2JQwU", "Video")</f>
        <v/>
      </c>
      <c r="B375" t="inlineStr">
        <is>
          <t>1:51</t>
        </is>
      </c>
      <c r="C375" t="inlineStr">
        <is>
          <t>of physical shipment of hard drives</t>
        </is>
      </c>
      <c r="D375">
        <f>HYPERLINK("https://www.youtube.com/watch?v=MHQSfA2JQwU&amp;t=111s", "Go to time")</f>
        <v/>
      </c>
    </row>
    <row r="376">
      <c r="A376">
        <f>HYPERLINK("https://www.youtube.com/watch?v=8Xn6PGYD5pU", "Video")</f>
        <v/>
      </c>
      <c r="B376" t="inlineStr">
        <is>
          <t>10:05</t>
        </is>
      </c>
      <c r="C376" t="inlineStr">
        <is>
          <t>stop because a lot of parents now Drive</t>
        </is>
      </c>
      <c r="D376">
        <f>HYPERLINK("https://www.youtube.com/watch?v=8Xn6PGYD5pU&amp;t=605s", "Go to time")</f>
        <v/>
      </c>
    </row>
    <row r="377">
      <c r="A377">
        <f>HYPERLINK("https://www.youtube.com/watch?v=YeYL5QV1zRc", "Video")</f>
        <v/>
      </c>
      <c r="B377" t="inlineStr">
        <is>
          <t>5:27</t>
        </is>
      </c>
      <c r="C377" t="inlineStr">
        <is>
          <t>tell you actually how to drive may tell</t>
        </is>
      </c>
      <c r="D377">
        <f>HYPERLINK("https://www.youtube.com/watch?v=YeYL5QV1zRc&amp;t=327s", "Go to time")</f>
        <v/>
      </c>
    </row>
    <row r="378">
      <c r="A378">
        <f>HYPERLINK("https://www.youtube.com/watch?v=YeYL5QV1zRc", "Video")</f>
        <v/>
      </c>
      <c r="B378" t="inlineStr">
        <is>
          <t>5:49</t>
        </is>
      </c>
      <c r="C378" t="inlineStr">
        <is>
          <t>say you how to drive how well to drive</t>
        </is>
      </c>
      <c r="D378">
        <f>HYPERLINK("https://www.youtube.com/watch?v=YeYL5QV1zRc&amp;t=349s", "Go to time")</f>
        <v/>
      </c>
    </row>
    <row r="379">
      <c r="A379">
        <f>HYPERLINK("https://www.youtube.com/watch?v=umZmrzRv17s", "Video")</f>
        <v/>
      </c>
      <c r="B379" t="inlineStr">
        <is>
          <t>2:23</t>
        </is>
      </c>
      <c r="C379" t="inlineStr">
        <is>
          <t>that's why 93% of us believe we're above average drivers and</t>
        </is>
      </c>
      <c r="D379">
        <f>HYPERLINK("https://www.youtube.com/watch?v=umZmrzRv17s&amp;t=143s", "Go to time")</f>
        <v/>
      </c>
    </row>
    <row r="380">
      <c r="A380">
        <f>HYPERLINK("https://www.youtube.com/watch?v=NwBD_HRVS50", "Video")</f>
        <v/>
      </c>
      <c r="B380" t="inlineStr">
        <is>
          <t>0:08</t>
        </is>
      </c>
      <c r="C380" t="inlineStr">
        <is>
          <t>I mean, the evidence for evolution is not
only overwhelming, but it drives everything</t>
        </is>
      </c>
      <c r="D380">
        <f>HYPERLINK("https://www.youtube.com/watch?v=NwBD_HRVS50&amp;t=8s", "Go to time")</f>
        <v/>
      </c>
    </row>
    <row r="381">
      <c r="A381">
        <f>HYPERLINK("https://www.youtube.com/watch?v=-uINIExpJ3I", "Video")</f>
        <v/>
      </c>
      <c r="B381" t="inlineStr">
        <is>
          <t>2:51</t>
        </is>
      </c>
      <c r="C381" t="inlineStr">
        <is>
          <t>drive change I think that's really</t>
        </is>
      </c>
      <c r="D381">
        <f>HYPERLINK("https://www.youtube.com/watch?v=-uINIExpJ3I&amp;t=171s", "Go to time")</f>
        <v/>
      </c>
    </row>
    <row r="382">
      <c r="A382">
        <f>HYPERLINK("https://www.youtube.com/watch?v=r4rYFBZXZJA", "Video")</f>
        <v/>
      </c>
      <c r="B382" t="inlineStr">
        <is>
          <t>3:28</t>
        </is>
      </c>
      <c r="C382" t="inlineStr">
        <is>
          <t>driven by the logic of the integration</t>
        </is>
      </c>
      <c r="D382">
        <f>HYPERLINK("https://www.youtube.com/watch?v=r4rYFBZXZJA&amp;t=208s", "Go to time")</f>
        <v/>
      </c>
    </row>
    <row r="383">
      <c r="A383">
        <f>HYPERLINK("https://www.youtube.com/watch?v=hjDcuWTu5qs", "Video")</f>
        <v/>
      </c>
      <c r="B383" t="inlineStr">
        <is>
          <t>2:01</t>
        </is>
      </c>
      <c r="C383" t="inlineStr">
        <is>
          <t>You could be a taxi driver.</t>
        </is>
      </c>
      <c r="D383">
        <f>HYPERLINK("https://www.youtube.com/watch?v=hjDcuWTu5qs&amp;t=121s", "Go to time")</f>
        <v/>
      </c>
    </row>
    <row r="384">
      <c r="A384">
        <f>HYPERLINK("https://www.youtube.com/watch?v=hjDcuWTu5qs", "Video")</f>
        <v/>
      </c>
      <c r="B384" t="inlineStr">
        <is>
          <t>12:38</t>
        </is>
      </c>
      <c r="C384" t="inlineStr">
        <is>
          <t>We'd be better drivers.</t>
        </is>
      </c>
      <c r="D384">
        <f>HYPERLINK("https://www.youtube.com/watch?v=hjDcuWTu5qs&amp;t=758s", "Go to time")</f>
        <v/>
      </c>
    </row>
    <row r="385">
      <c r="A385">
        <f>HYPERLINK("https://www.youtube.com/watch?v=5J4ekpdxzHY", "Video")</f>
        <v/>
      </c>
      <c r="B385" t="inlineStr">
        <is>
          <t>0:25</t>
        </is>
      </c>
      <c r="C385" t="inlineStr">
        <is>
          <t>a uh this is a wonderful field driven by</t>
        </is>
      </c>
      <c r="D385">
        <f>HYPERLINK("https://www.youtube.com/watch?v=5J4ekpdxzHY&amp;t=25s", "Go to time")</f>
        <v/>
      </c>
    </row>
    <row r="386">
      <c r="A386">
        <f>HYPERLINK("https://www.youtube.com/watch?v=UB-BNpxHFOM", "Video")</f>
        <v/>
      </c>
      <c r="B386" t="inlineStr">
        <is>
          <t>3:54</t>
        </is>
      </c>
      <c r="C386" t="inlineStr">
        <is>
          <t>Innovative they drive cars they you know</t>
        </is>
      </c>
      <c r="D386">
        <f>HYPERLINK("https://www.youtube.com/watch?v=UB-BNpxHFOM&amp;t=234s", "Go to time")</f>
        <v/>
      </c>
    </row>
    <row r="387">
      <c r="A387">
        <f>HYPERLINK("https://www.youtube.com/watch?v=9LF65t4qesk", "Video")</f>
        <v/>
      </c>
      <c r="B387" t="inlineStr">
        <is>
          <t>0:46</t>
        </is>
      </c>
      <c r="C387" t="inlineStr">
        <is>
          <t>which they estimate is designed to drive a
person crazy after 90 days.</t>
        </is>
      </c>
      <c r="D387">
        <f>HYPERLINK("https://www.youtube.com/watch?v=9LF65t4qesk&amp;t=46s", "Go to time")</f>
        <v/>
      </c>
    </row>
    <row r="388">
      <c r="A388">
        <f>HYPERLINK("https://www.youtube.com/watch?v=Z8Hd9UHloH0", "Video")</f>
        <v/>
      </c>
      <c r="B388" t="inlineStr">
        <is>
          <t>6:05</t>
        </is>
      </c>
      <c r="C388" t="inlineStr">
        <is>
          <t>one can drive particularly nowadays as</t>
        </is>
      </c>
      <c r="D388">
        <f>HYPERLINK("https://www.youtube.com/watch?v=Z8Hd9UHloH0&amp;t=365s", "Go to time")</f>
        <v/>
      </c>
    </row>
    <row r="389">
      <c r="A389">
        <f>HYPERLINK("https://www.youtube.com/watch?v=Z8Hd9UHloH0", "Video")</f>
        <v/>
      </c>
      <c r="B389" t="inlineStr">
        <is>
          <t>6:15</t>
        </is>
      </c>
      <c r="C389" t="inlineStr">
        <is>
          <t>drive across it in an afternoon so one</t>
        </is>
      </c>
      <c r="D389">
        <f>HYPERLINK("https://www.youtube.com/watch?v=Z8Hd9UHloH0&amp;t=375s", "Go to time")</f>
        <v/>
      </c>
    </row>
    <row r="390">
      <c r="A390">
        <f>HYPERLINK("https://www.youtube.com/watch?v=Z8Hd9UHloH0", "Video")</f>
        <v/>
      </c>
      <c r="B390" t="inlineStr">
        <is>
          <t>7:46</t>
        </is>
      </c>
      <c r="C390" t="inlineStr">
        <is>
          <t>the fact uh that one can drive from one</t>
        </is>
      </c>
      <c r="D390">
        <f>HYPERLINK("https://www.youtube.com/watch?v=Z8Hd9UHloH0&amp;t=466s", "Go to time")</f>
        <v/>
      </c>
    </row>
    <row r="391">
      <c r="A391">
        <f>HYPERLINK("https://www.youtube.com/watch?v=M66_s4NjmMs", "Video")</f>
        <v/>
      </c>
      <c r="B391" t="inlineStr">
        <is>
          <t>0:31</t>
        </is>
      </c>
      <c r="C391" t="inlineStr">
        <is>
          <t>do with what drives people to figure out</t>
        </is>
      </c>
      <c r="D391">
        <f>HYPERLINK("https://www.youtube.com/watch?v=M66_s4NjmMs&amp;t=31s", "Go to time")</f>
        <v/>
      </c>
    </row>
    <row r="392">
      <c r="A392">
        <f>HYPERLINK("https://www.youtube.com/watch?v=O-Ith3X1x9k", "Video")</f>
        <v/>
      </c>
      <c r="B392" t="inlineStr">
        <is>
          <t>32:20</t>
        </is>
      </c>
      <c r="C392" t="inlineStr">
        <is>
          <t>There's a reason why The Purpose-Driven Life
is a best seller, quite apart from appealing</t>
        </is>
      </c>
      <c r="D392">
        <f>HYPERLINK("https://www.youtube.com/watch?v=O-Ith3X1x9k&amp;t=1940s", "Go to time")</f>
        <v/>
      </c>
    </row>
    <row r="393">
      <c r="A393">
        <f>HYPERLINK("https://www.youtube.com/watch?v=O-Ith3X1x9k", "Video")</f>
        <v/>
      </c>
      <c r="B393" t="inlineStr">
        <is>
          <t>33:21</t>
        </is>
      </c>
      <c r="C393" t="inlineStr">
        <is>
          <t>And why are they talking about a purpose-driven
life?</t>
        </is>
      </c>
      <c r="D393">
        <f>HYPERLINK("https://www.youtube.com/watch?v=O-Ith3X1x9k&amp;t=2001s", "Go to time")</f>
        <v/>
      </c>
    </row>
    <row r="394">
      <c r="A394">
        <f>HYPERLINK("https://www.youtube.com/watch?v=kyow7KAHDks", "Video")</f>
        <v/>
      </c>
      <c r="B394" t="inlineStr">
        <is>
          <t>0:05</t>
        </is>
      </c>
      <c r="C394" t="inlineStr">
        <is>
          <t>meaning every motivation that drives us</t>
        </is>
      </c>
      <c r="D394">
        <f>HYPERLINK("https://www.youtube.com/watch?v=kyow7KAHDks&amp;t=5s", "Go to time")</f>
        <v/>
      </c>
    </row>
    <row r="395">
      <c r="A395">
        <f>HYPERLINK("https://www.youtube.com/watch?v=kyow7KAHDks", "Video")</f>
        <v/>
      </c>
      <c r="B395" t="inlineStr">
        <is>
          <t>2:22</t>
        </is>
      </c>
      <c r="C395" t="inlineStr">
        <is>
          <t>psychopathy can drive</t>
        </is>
      </c>
      <c r="D395">
        <f>HYPERLINK("https://www.youtube.com/watch?v=kyow7KAHDks&amp;t=142s", "Go to time")</f>
        <v/>
      </c>
    </row>
    <row r="396">
      <c r="A396">
        <f>HYPERLINK("https://www.youtube.com/watch?v=veOdmJY-0DQ", "Video")</f>
        <v/>
      </c>
      <c r="B396" t="inlineStr">
        <is>
          <t>2:58</t>
        </is>
      </c>
      <c r="C396" t="inlineStr">
        <is>
          <t>hit by driver by shooting the truth is</t>
        </is>
      </c>
      <c r="D396">
        <f>HYPERLINK("https://www.youtube.com/watch?v=veOdmJY-0DQ&amp;t=178s", "Go to time")</f>
        <v/>
      </c>
    </row>
    <row r="397">
      <c r="A397">
        <f>HYPERLINK("https://www.youtube.com/watch?v=5U4S4ki4YZs", "Video")</f>
        <v/>
      </c>
      <c r="B397" t="inlineStr">
        <is>
          <t>3:09</t>
        </is>
      </c>
      <c r="C397" t="inlineStr">
        <is>
          <t>I mean, it's gonna drive you crazy.</t>
        </is>
      </c>
      <c r="D397">
        <f>HYPERLINK("https://www.youtube.com/watch?v=5U4S4ki4YZs&amp;t=189s", "Go to time")</f>
        <v/>
      </c>
    </row>
    <row r="398">
      <c r="A398">
        <f>HYPERLINK("https://www.youtube.com/watch?v=icuRP74BPd4", "Video")</f>
        <v/>
      </c>
      <c r="B398" t="inlineStr">
        <is>
          <t>1:20</t>
        </is>
      </c>
      <c r="C398" t="inlineStr">
        <is>
          <t>world a major driver of the cost of</t>
        </is>
      </c>
      <c r="D398">
        <f>HYPERLINK("https://www.youtube.com/watch?v=icuRP74BPd4&amp;t=80s", "Go to time")</f>
        <v/>
      </c>
    </row>
    <row r="399">
      <c r="A399">
        <f>HYPERLINK("https://www.youtube.com/watch?v=icuRP74BPd4", "Video")</f>
        <v/>
      </c>
      <c r="B399" t="inlineStr">
        <is>
          <t>4:52</t>
        </is>
      </c>
      <c r="C399" t="inlineStr">
        <is>
          <t>drive the disruptive</t>
        </is>
      </c>
      <c r="D399">
        <f>HYPERLINK("https://www.youtube.com/watch?v=icuRP74BPd4&amp;t=292s", "Go to time")</f>
        <v/>
      </c>
    </row>
    <row r="400">
      <c r="A400">
        <f>HYPERLINK("https://www.youtube.com/watch?v=icuRP74BPd4", "Video")</f>
        <v/>
      </c>
      <c r="B400" t="inlineStr">
        <is>
          <t>8:51</t>
        </is>
      </c>
      <c r="C400" t="inlineStr">
        <is>
          <t>help um Drive the system where it needs</t>
        </is>
      </c>
      <c r="D400">
        <f>HYPERLINK("https://www.youtube.com/watch?v=icuRP74BPd4&amp;t=531s", "Go to time")</f>
        <v/>
      </c>
    </row>
    <row r="401">
      <c r="A401">
        <f>HYPERLINK("https://www.youtube.com/watch?v=0CJ8g8w1huc", "Video")</f>
        <v/>
      </c>
      <c r="B401" t="inlineStr">
        <is>
          <t>0:51</t>
        </is>
      </c>
      <c r="C401" t="inlineStr">
        <is>
          <t>In conducting that exercise what I found is
that there are only three drivers, not more,</t>
        </is>
      </c>
      <c r="D401">
        <f>HYPERLINK("https://www.youtube.com/watch?v=0CJ8g8w1huc&amp;t=51s", "Go to time")</f>
        <v/>
      </c>
    </row>
    <row r="402">
      <c r="A402">
        <f>HYPERLINK("https://www.youtube.com/watch?v=0CJ8g8w1huc", "Video")</f>
        <v/>
      </c>
      <c r="B402" t="inlineStr">
        <is>
          <t>0:56</t>
        </is>
      </c>
      <c r="C402" t="inlineStr">
        <is>
          <t>not less, three drivers that account for the
most expensive, ambitious projects humans</t>
        </is>
      </c>
      <c r="D402">
        <f>HYPERLINK("https://www.youtube.com/watch?v=0CJ8g8w1huc&amp;t=56s", "Go to time")</f>
        <v/>
      </c>
    </row>
    <row r="403">
      <c r="A403">
        <f>HYPERLINK("https://www.youtube.com/watch?v=0CJ8g8w1huc", "Video")</f>
        <v/>
      </c>
      <c r="B403" t="inlineStr">
        <is>
          <t>1:22</t>
        </is>
      </c>
      <c r="C403" t="inlineStr">
        <is>
          <t>There is less of that today, so that's not
really a useful driver to think about how</t>
        </is>
      </c>
      <c r="D403">
        <f>HYPERLINK("https://www.youtube.com/watch?v=0CJ8g8w1huc&amp;t=82s", "Go to time")</f>
        <v/>
      </c>
    </row>
    <row r="404">
      <c r="A404">
        <f>HYPERLINK("https://www.youtube.com/watch?v=0CJ8g8w1huc", "Video")</f>
        <v/>
      </c>
      <c r="B404" t="inlineStr">
        <is>
          <t>1:30</t>
        </is>
      </c>
      <c r="C404" t="inlineStr">
        <is>
          <t>Another driver is war.</t>
        </is>
      </c>
      <c r="D404">
        <f>HYPERLINK("https://www.youtube.com/watch?v=0CJ8g8w1huc&amp;t=90s", "Go to time")</f>
        <v/>
      </c>
    </row>
    <row r="405">
      <c r="A405">
        <f>HYPERLINK("https://www.youtube.com/watch?v=0CJ8g8w1huc", "Video")</f>
        <v/>
      </c>
      <c r="B405" t="inlineStr">
        <is>
          <t>1:44</t>
        </is>
      </c>
      <c r="C405" t="inlineStr">
        <is>
          <t>Another driver, the search for economic return—nobody
wants to die, nobody wants to die poor.</t>
        </is>
      </c>
      <c r="D405">
        <f>HYPERLINK("https://www.youtube.com/watch?v=0CJ8g8w1huc&amp;t=104s", "Go to time")</f>
        <v/>
      </c>
    </row>
    <row r="406">
      <c r="A406">
        <f>HYPERLINK("https://www.youtube.com/watch?v=0CJ8g8w1huc", "Video")</f>
        <v/>
      </c>
      <c r="B406" t="inlineStr">
        <is>
          <t>2:10</t>
        </is>
      </c>
      <c r="C406" t="inlineStr">
        <is>
          <t>So if we're going to go to Mars, and if war
is not the driver—because it could easily</t>
        </is>
      </c>
      <c r="D406">
        <f>HYPERLINK("https://www.youtube.com/watch?v=0CJ8g8w1huc&amp;t=130s", "Go to time")</f>
        <v/>
      </c>
    </row>
    <row r="407">
      <c r="A407">
        <f>HYPERLINK("https://www.youtube.com/watch?v=0CJ8g8w1huc", "Video")</f>
        <v/>
      </c>
      <c r="B407" t="inlineStr">
        <is>
          <t>2:15</t>
        </is>
      </c>
      <c r="C407" t="inlineStr">
        <is>
          <t>become the driver if you get another space
race with someone we view as a military adversary;</t>
        </is>
      </c>
      <c r="D407">
        <f>HYPERLINK("https://www.youtube.com/watch?v=0CJ8g8w1huc&amp;t=135s", "Go to time")</f>
        <v/>
      </c>
    </row>
    <row r="408">
      <c r="A408">
        <f>HYPERLINK("https://www.youtube.com/watch?v=0CJ8g8w1huc", "Video")</f>
        <v/>
      </c>
      <c r="B408" t="inlineStr">
        <is>
          <t>2:21</t>
        </is>
      </c>
      <c r="C408" t="inlineStr">
        <is>
          <t>I wonder who that might be—but if peaceful
heads prevail, then war is not the driver</t>
        </is>
      </c>
      <c r="D408">
        <f>HYPERLINK("https://www.youtube.com/watch?v=0CJ8g8w1huc&amp;t=141s", "Go to time")</f>
        <v/>
      </c>
    </row>
    <row r="409">
      <c r="A409">
        <f>HYPERLINK("https://www.youtube.com/watch?v=0CJ8g8w1huc", "Video")</f>
        <v/>
      </c>
      <c r="B409" t="inlineStr">
        <is>
          <t>3:07</t>
        </is>
      </c>
      <c r="C409" t="inlineStr">
        <is>
          <t>it's that innovation in the 21st century that
will drive tomorrow's economies.</t>
        </is>
      </c>
      <c r="D409">
        <f>HYPERLINK("https://www.youtube.com/watch?v=0CJ8g8w1huc&amp;t=187s", "Go to time")</f>
        <v/>
      </c>
    </row>
    <row r="410">
      <c r="A410">
        <f>HYPERLINK("https://www.youtube.com/watch?v=eUlXmWWPNy4", "Video")</f>
        <v/>
      </c>
      <c r="B410" t="inlineStr">
        <is>
          <t>0:40</t>
        </is>
      </c>
      <c r="C410" t="inlineStr">
        <is>
          <t>between success and intelligence. There are 
other factors such as drive and determination,</t>
        </is>
      </c>
      <c r="D410">
        <f>HYPERLINK("https://www.youtube.com/watch?v=eUlXmWWPNy4&amp;t=40s", "Go to time")</f>
        <v/>
      </c>
    </row>
    <row r="411">
      <c r="A411">
        <f>HYPERLINK("https://www.youtube.com/watch?v=eUlXmWWPNy4", "Video")</f>
        <v/>
      </c>
      <c r="B411" t="inlineStr">
        <is>
          <t>14:56</t>
        </is>
      </c>
      <c r="C411" t="inlineStr">
        <is>
          <t>intelligence. There are other factors such 
as drive and determination, energy levels,</t>
        </is>
      </c>
      <c r="D411">
        <f>HYPERLINK("https://www.youtube.com/watch?v=eUlXmWWPNy4&amp;t=896s", "Go to time")</f>
        <v/>
      </c>
    </row>
    <row r="412">
      <c r="A412">
        <f>HYPERLINK("https://www.youtube.com/watch?v=1Nb1M4h0I_g", "Video")</f>
        <v/>
      </c>
      <c r="B412" t="inlineStr">
        <is>
          <t>3:10</t>
        </is>
      </c>
      <c r="C412" t="inlineStr">
        <is>
          <t>and you got to drive science and so</t>
        </is>
      </c>
      <c r="D412">
        <f>HYPERLINK("https://www.youtube.com/watch?v=1Nb1M4h0I_g&amp;t=190s", "Go to time")</f>
        <v/>
      </c>
    </row>
    <row r="413">
      <c r="A413">
        <f>HYPERLINK("https://www.youtube.com/watch?v=xvIZjGEBvI8", "Video")</f>
        <v/>
      </c>
      <c r="B413" t="inlineStr">
        <is>
          <t>9:37</t>
        </is>
      </c>
      <c r="C413" t="inlineStr">
        <is>
          <t>And if we know anything from research, it
said, expectations drive behaviors.</t>
        </is>
      </c>
      <c r="D413">
        <f>HYPERLINK("https://www.youtube.com/watch?v=xvIZjGEBvI8&amp;t=577s", "Go to time")</f>
        <v/>
      </c>
    </row>
    <row r="414">
      <c r="A414">
        <f>HYPERLINK("https://www.youtube.com/watch?v=4Ox2NbOVIYc", "Video")</f>
        <v/>
      </c>
      <c r="B414" t="inlineStr">
        <is>
          <t>6:17</t>
        </is>
      </c>
      <c r="C414" t="inlineStr">
        <is>
          <t>be calming down about this greed driven</t>
        </is>
      </c>
      <c r="D414">
        <f>HYPERLINK("https://www.youtube.com/watch?v=4Ox2NbOVIYc&amp;t=377s", "Go to time")</f>
        <v/>
      </c>
    </row>
    <row r="415">
      <c r="A415">
        <f>HYPERLINK("https://www.youtube.com/watch?v=reMDjVM5ZiE", "Video")</f>
        <v/>
      </c>
      <c r="B415" t="inlineStr">
        <is>
          <t>0:29</t>
        </is>
      </c>
      <c r="C415" t="inlineStr">
        <is>
          <t>there's plenty of uh plenty of drive to</t>
        </is>
      </c>
      <c r="D415">
        <f>HYPERLINK("https://www.youtube.com/watch?v=reMDjVM5ZiE&amp;t=29s", "Go to time")</f>
        <v/>
      </c>
    </row>
    <row r="416">
      <c r="A416">
        <f>HYPERLINK("https://www.youtube.com/watch?v=VMPKN5iEuKk", "Video")</f>
        <v/>
      </c>
      <c r="B416" t="inlineStr">
        <is>
          <t>0:05</t>
        </is>
      </c>
      <c r="C416" t="inlineStr">
        <is>
          <t>with feeling overwhelmed and
uncertain about how to drive</t>
        </is>
      </c>
      <c r="D416">
        <f>HYPERLINK("https://www.youtube.com/watch?v=VMPKN5iEuKk&amp;t=5s", "Go to time")</f>
        <v/>
      </c>
    </row>
    <row r="417">
      <c r="A417">
        <f>HYPERLINK("https://www.youtube.com/watch?v=VMPKN5iEuKk", "Video")</f>
        <v/>
      </c>
      <c r="B417" t="inlineStr">
        <is>
          <t>0:48</t>
        </is>
      </c>
      <c r="C417" t="inlineStr">
        <is>
          <t>and ways to drive more growth.</t>
        </is>
      </c>
      <c r="D417">
        <f>HYPERLINK("https://www.youtube.com/watch?v=VMPKN5iEuKk&amp;t=48s", "Go to time")</f>
        <v/>
      </c>
    </row>
    <row r="418">
      <c r="A418">
        <f>HYPERLINK("https://www.youtube.com/watch?v=dvsn3M1JsYk", "Video")</f>
        <v/>
      </c>
      <c r="B418" t="inlineStr">
        <is>
          <t>2:53</t>
        </is>
      </c>
      <c r="C418" t="inlineStr">
        <is>
          <t>um and that's one way to drive things</t>
        </is>
      </c>
      <c r="D418">
        <f>HYPERLINK("https://www.youtube.com/watch?v=dvsn3M1JsYk&amp;t=173s", "Go to time")</f>
        <v/>
      </c>
    </row>
    <row r="419">
      <c r="A419">
        <f>HYPERLINK("https://www.youtube.com/watch?v=dvsn3M1JsYk", "Video")</f>
        <v/>
      </c>
      <c r="B419" t="inlineStr">
        <is>
          <t>4:42</t>
        </is>
      </c>
      <c r="C419" t="inlineStr">
        <is>
          <t>and put them together to drive things</t>
        </is>
      </c>
      <c r="D419">
        <f>HYPERLINK("https://www.youtube.com/watch?v=dvsn3M1JsYk&amp;t=282s", "Go to time")</f>
        <v/>
      </c>
    </row>
    <row r="420">
      <c r="A420">
        <f>HYPERLINK("https://www.youtube.com/watch?v=Pyo9ctq8BMA", "Video")</f>
        <v/>
      </c>
      <c r="B420" t="inlineStr">
        <is>
          <t>3:28</t>
        </is>
      </c>
      <c r="C420" t="inlineStr">
        <is>
          <t>whole motherboard just to drive a screen</t>
        </is>
      </c>
      <c r="D420">
        <f>HYPERLINK("https://www.youtube.com/watch?v=Pyo9ctq8BMA&amp;t=208s", "Go to time")</f>
        <v/>
      </c>
    </row>
    <row r="421">
      <c r="A421">
        <f>HYPERLINK("https://www.youtube.com/watch?v=dWMQvsu-NwM", "Video")</f>
        <v/>
      </c>
      <c r="B421" t="inlineStr">
        <is>
          <t>33:30</t>
        </is>
      </c>
      <c r="C421" t="inlineStr">
        <is>
          <t>That really drives home the fact</t>
        </is>
      </c>
      <c r="D421">
        <f>HYPERLINK("https://www.youtube.com/watch?v=dWMQvsu-NwM&amp;t=2010s", "Go to time")</f>
        <v/>
      </c>
    </row>
    <row r="422">
      <c r="A422">
        <f>HYPERLINK("https://www.youtube.com/watch?v=04r9IDvylPc", "Video")</f>
        <v/>
      </c>
      <c r="B422" t="inlineStr">
        <is>
          <t>1:43</t>
        </is>
      </c>
      <c r="C422" t="inlineStr">
        <is>
          <t>parents now Drive their children to the</t>
        </is>
      </c>
      <c r="D422">
        <f>HYPERLINK("https://www.youtube.com/watch?v=04r9IDvylPc&amp;t=103s", "Go to time")</f>
        <v/>
      </c>
    </row>
    <row r="423">
      <c r="A423">
        <f>HYPERLINK("https://www.youtube.com/watch?v=XhuIRL-2unA", "Video")</f>
        <v/>
      </c>
      <c r="B423" t="inlineStr">
        <is>
          <t>3:32</t>
        </is>
      </c>
      <c r="C423" t="inlineStr">
        <is>
          <t>jobs that are available and the jobs that
industry needs in order to drive sustainable</t>
        </is>
      </c>
      <c r="D423">
        <f>HYPERLINK("https://www.youtube.com/watch?v=XhuIRL-2unA&amp;t=212s", "Go to time")</f>
        <v/>
      </c>
    </row>
    <row r="424">
      <c r="A424">
        <f>HYPERLINK("https://www.youtube.com/watch?v=u57HsQ7IHPs", "Video")</f>
        <v/>
      </c>
      <c r="B424" t="inlineStr">
        <is>
          <t>6:47</t>
        </is>
      </c>
      <c r="C424" t="inlineStr">
        <is>
          <t>talent and just as much ambition actually
and just as much drive.</t>
        </is>
      </c>
      <c r="D424">
        <f>HYPERLINK("https://www.youtube.com/watch?v=u57HsQ7IHPs&amp;t=407s", "Go to time")</f>
        <v/>
      </c>
    </row>
    <row r="425">
      <c r="A425">
        <f>HYPERLINK("https://www.youtube.com/watch?v=3xOK2aJ-0Js", "Video")</f>
        <v/>
      </c>
      <c r="B425" t="inlineStr">
        <is>
          <t>8:59</t>
        </is>
      </c>
      <c r="C425" t="inlineStr">
        <is>
          <t>And the form of mobility is driverless automated
vehicles, logistics and automated drones.</t>
        </is>
      </c>
      <c r="D425">
        <f>HYPERLINK("https://www.youtube.com/watch?v=3xOK2aJ-0Js&amp;t=539s", "Go to time")</f>
        <v/>
      </c>
    </row>
    <row r="426">
      <c r="A426">
        <f>HYPERLINK("https://www.youtube.com/watch?v=4CyH2mSVqpU", "Video")</f>
        <v/>
      </c>
      <c r="B426" t="inlineStr">
        <is>
          <t>4:25</t>
        </is>
      </c>
      <c r="C426" t="inlineStr">
        <is>
          <t>truck driver who's very sleepy having a</t>
        </is>
      </c>
      <c r="D426">
        <f>HYPERLINK("https://www.youtube.com/watch?v=4CyH2mSVqpU&amp;t=265s", "Go to time")</f>
        <v/>
      </c>
    </row>
    <row r="427">
      <c r="A427">
        <f>HYPERLINK("https://www.youtube.com/watch?v=Xmw_1wfUmFs", "Video")</f>
        <v/>
      </c>
      <c r="B427" t="inlineStr">
        <is>
          <t>20:10</t>
        </is>
      </c>
      <c r="C427" t="inlineStr">
        <is>
          <t>And really, that's driven
by men with less education</t>
        </is>
      </c>
      <c r="D427">
        <f>HYPERLINK("https://www.youtube.com/watch?v=Xmw_1wfUmFs&amp;t=1210s", "Go to time")</f>
        <v/>
      </c>
    </row>
    <row r="428">
      <c r="A428">
        <f>HYPERLINK("https://www.youtube.com/watch?v=Xmw_1wfUmFs", "Video")</f>
        <v/>
      </c>
      <c r="B428" t="inlineStr">
        <is>
          <t>73:02</t>
        </is>
      </c>
      <c r="C428" t="inlineStr">
        <is>
          <t>That's really not the
main driver of it anymore,</t>
        </is>
      </c>
      <c r="D428">
        <f>HYPERLINK("https://www.youtube.com/watch?v=Xmw_1wfUmFs&amp;t=4382s", "Go to time")</f>
        <v/>
      </c>
    </row>
    <row r="429">
      <c r="A429">
        <f>HYPERLINK("https://www.youtube.com/watch?v=Xmw_1wfUmFs", "Video")</f>
        <v/>
      </c>
      <c r="B429" t="inlineStr">
        <is>
          <t>73:15</t>
        </is>
      </c>
      <c r="C429" t="inlineStr">
        <is>
          <t>The gender pay gap now is largely driven</t>
        </is>
      </c>
      <c r="D429">
        <f>HYPERLINK("https://www.youtube.com/watch?v=Xmw_1wfUmFs&amp;t=4395s", "Go to time")</f>
        <v/>
      </c>
    </row>
    <row r="430">
      <c r="A430">
        <f>HYPERLINK("https://www.youtube.com/watch?v=77y8aB7BlVw", "Video")</f>
        <v/>
      </c>
      <c r="B430" t="inlineStr">
        <is>
          <t>0:26</t>
        </is>
      </c>
      <c r="C430" t="inlineStr">
        <is>
          <t>in Africa we're all driven by incentives</t>
        </is>
      </c>
      <c r="D430">
        <f>HYPERLINK("https://www.youtube.com/watch?v=77y8aB7BlVw&amp;t=26s", "Go to time")</f>
        <v/>
      </c>
    </row>
    <row r="431">
      <c r="A431">
        <f>HYPERLINK("https://www.youtube.com/watch?v=t6sjyVDNa90", "Video")</f>
        <v/>
      </c>
      <c r="B431" t="inlineStr">
        <is>
          <t>3:04</t>
        </is>
      </c>
      <c r="C431" t="inlineStr">
        <is>
          <t>driven processes”, and so the quick answer
is to use natural language processing and</t>
        </is>
      </c>
      <c r="D431">
        <f>HYPERLINK("https://www.youtube.com/watch?v=t6sjyVDNa90&amp;t=184s", "Go to time")</f>
        <v/>
      </c>
    </row>
    <row r="432">
      <c r="A432">
        <f>HYPERLINK("https://www.youtube.com/watch?v=thZUMaGEE-8", "Video")</f>
        <v/>
      </c>
      <c r="B432" t="inlineStr">
        <is>
          <t>59:14</t>
        </is>
      </c>
      <c r="C432" t="inlineStr">
        <is>
          <t>they want to drive the Palestinians</t>
        </is>
      </c>
      <c r="D432">
        <f>HYPERLINK("https://www.youtube.com/watch?v=thZUMaGEE-8&amp;t=3554s", "Go to time")</f>
        <v/>
      </c>
    </row>
    <row r="433">
      <c r="A433">
        <f>HYPERLINK("https://www.youtube.com/watch?v=thZUMaGEE-8", "Video")</f>
        <v/>
      </c>
      <c r="B433" t="inlineStr">
        <is>
          <t>71:51</t>
        </is>
      </c>
      <c r="C433" t="inlineStr">
        <is>
          <t>So when they taught me how to drive a car,</t>
        </is>
      </c>
      <c r="D433">
        <f>HYPERLINK("https://www.youtube.com/watch?v=thZUMaGEE-8&amp;t=4311s", "Go to time")</f>
        <v/>
      </c>
    </row>
    <row r="434">
      <c r="A434">
        <f>HYPERLINK("https://www.youtube.com/watch?v=nWre6hPfswQ", "Video")</f>
        <v/>
      </c>
      <c r="B434" t="inlineStr">
        <is>
          <t>2:32</t>
        </is>
      </c>
      <c r="C434" t="inlineStr">
        <is>
          <t>that as a capitalism purely driven by</t>
        </is>
      </c>
      <c r="D434">
        <f>HYPERLINK("https://www.youtube.com/watch?v=nWre6hPfswQ&amp;t=152s", "Go to time")</f>
        <v/>
      </c>
    </row>
    <row r="435">
      <c r="A435">
        <f>HYPERLINK("https://www.youtube.com/watch?v=qWLxXaHnC64", "Video")</f>
        <v/>
      </c>
      <c r="B435" t="inlineStr">
        <is>
          <t>7:25</t>
        </is>
      </c>
      <c r="C435" t="inlineStr">
        <is>
          <t>sense is that technology drives up</t>
        </is>
      </c>
      <c r="D435">
        <f>HYPERLINK("https://www.youtube.com/watch?v=qWLxXaHnC64&amp;t=445s", "Go to time")</f>
        <v/>
      </c>
    </row>
    <row r="436">
      <c r="A436">
        <f>HYPERLINK("https://www.youtube.com/watch?v=UAP5K2RNpQw", "Video")</f>
        <v/>
      </c>
      <c r="B436" t="inlineStr">
        <is>
          <t>1:09</t>
        </is>
      </c>
      <c r="C436" t="inlineStr">
        <is>
          <t>been driven by a Relentless non-stop</t>
        </is>
      </c>
      <c r="D436">
        <f>HYPERLINK("https://www.youtube.com/watch?v=UAP5K2RNpQw&amp;t=69s", "Go to time")</f>
        <v/>
      </c>
    </row>
    <row r="437">
      <c r="A437">
        <f>HYPERLINK("https://www.youtube.com/watch?v=EOu8c3zfUyI", "Video")</f>
        <v/>
      </c>
      <c r="B437" t="inlineStr">
        <is>
          <t>0:51</t>
        </is>
      </c>
      <c r="C437" t="inlineStr">
        <is>
          <t>think the two big biggest drivers are</t>
        </is>
      </c>
      <c r="D437">
        <f>HYPERLINK("https://www.youtube.com/watch?v=EOu8c3zfUyI&amp;t=51s", "Go to time")</f>
        <v/>
      </c>
    </row>
    <row r="438">
      <c r="A438">
        <f>HYPERLINK("https://www.youtube.com/watch?v=EOu8c3zfUyI", "Video")</f>
        <v/>
      </c>
      <c r="B438" t="inlineStr">
        <is>
          <t>1:00</t>
        </is>
      </c>
      <c r="C438" t="inlineStr">
        <is>
          <t>drivers like competition Industries and</t>
        </is>
      </c>
      <c r="D438">
        <f>HYPERLINK("https://www.youtube.com/watch?v=EOu8c3zfUyI&amp;t=60s", "Go to time")</f>
        <v/>
      </c>
    </row>
    <row r="439">
      <c r="A439">
        <f>HYPERLINK("https://www.youtube.com/watch?v=P4SNHp-vPXw", "Video")</f>
        <v/>
      </c>
      <c r="B439" t="inlineStr">
        <is>
          <t>1:34</t>
        </is>
      </c>
      <c r="C439" t="inlineStr">
        <is>
          <t>I mean why what keeps me driven what</t>
        </is>
      </c>
      <c r="D439">
        <f>HYPERLINK("https://www.youtube.com/watch?v=P4SNHp-vPXw&amp;t=94s", "Go to time")</f>
        <v/>
      </c>
    </row>
    <row r="440">
      <c r="A440">
        <f>HYPERLINK("https://www.youtube.com/watch?v=TLm6dC34gYk", "Video")</f>
        <v/>
      </c>
      <c r="B440" t="inlineStr">
        <is>
          <t>5:19</t>
        </is>
      </c>
      <c r="C440" t="inlineStr">
        <is>
          <t>machine learning-driven models
that can help us navigate</t>
        </is>
      </c>
      <c r="D440">
        <f>HYPERLINK("https://www.youtube.com/watch?v=TLm6dC34gYk&amp;t=319s", "Go to time")</f>
        <v/>
      </c>
    </row>
    <row r="441">
      <c r="A441">
        <f>HYPERLINK("https://www.youtube.com/watch?v=TLm6dC34gYk", "Video")</f>
        <v/>
      </c>
      <c r="B441" t="inlineStr">
        <is>
          <t>7:06</t>
        </is>
      </c>
      <c r="C441" t="inlineStr">
        <is>
          <t>Not everyone is going to
drive 60 miles an hour</t>
        </is>
      </c>
      <c r="D441">
        <f>HYPERLINK("https://www.youtube.com/watch?v=TLm6dC34gYk&amp;t=426s", "Go to time")</f>
        <v/>
      </c>
    </row>
    <row r="442">
      <c r="A442">
        <f>HYPERLINK("https://www.youtube.com/watch?v=TLm6dC34gYk", "Video")</f>
        <v/>
      </c>
      <c r="B442" t="inlineStr">
        <is>
          <t>7:11</t>
        </is>
      </c>
      <c r="C442" t="inlineStr">
        <is>
          <t>but most people will
drive somewhere near it.</t>
        </is>
      </c>
      <c r="D442">
        <f>HYPERLINK("https://www.youtube.com/watch?v=TLm6dC34gYk&amp;t=431s", "Go to time")</f>
        <v/>
      </c>
    </row>
    <row r="443">
      <c r="A443">
        <f>HYPERLINK("https://www.youtube.com/watch?v=TLm6dC34gYk", "Video")</f>
        <v/>
      </c>
      <c r="B443" t="inlineStr">
        <is>
          <t>7:30</t>
        </is>
      </c>
      <c r="C443" t="inlineStr">
        <is>
          <t>because efficiency is the main driver</t>
        </is>
      </c>
      <c r="D443">
        <f>HYPERLINK("https://www.youtube.com/watch?v=TLm6dC34gYk&amp;t=450s", "Go to time")</f>
        <v/>
      </c>
    </row>
    <row r="444">
      <c r="A444">
        <f>HYPERLINK("https://www.youtube.com/watch?v=v32ZtHUEqYQ", "Video")</f>
        <v/>
      </c>
      <c r="B444" t="inlineStr">
        <is>
          <t>0:12</t>
        </is>
      </c>
      <c r="C444" t="inlineStr">
        <is>
          <t>is driven by a desire
to achieve something.</t>
        </is>
      </c>
      <c r="D444">
        <f>HYPERLINK("https://www.youtube.com/watch?v=v32ZtHUEqYQ&amp;t=12s", "Go to time")</f>
        <v/>
      </c>
    </row>
    <row r="445">
      <c r="A445">
        <f>HYPERLINK("https://www.youtube.com/watch?v=v32ZtHUEqYQ", "Video")</f>
        <v/>
      </c>
      <c r="B445" t="inlineStr">
        <is>
          <t>2:27</t>
        </is>
      </c>
      <c r="C445" t="inlineStr">
        <is>
          <t>that goals aren't necessary
to drive behavior,</t>
        </is>
      </c>
      <c r="D445">
        <f>HYPERLINK("https://www.youtube.com/watch?v=v32ZtHUEqYQ&amp;t=147s", "Go to time")</f>
        <v/>
      </c>
    </row>
    <row r="446">
      <c r="A446">
        <f>HYPERLINK("https://www.youtube.com/watch?v=2mRdMmcmFEI", "Video")</f>
        <v/>
      </c>
      <c r="B446" t="inlineStr">
        <is>
          <t>6:30</t>
        </is>
      </c>
      <c r="C446" t="inlineStr">
        <is>
          <t>our reach around the globe so if I drive</t>
        </is>
      </c>
      <c r="D446">
        <f>HYPERLINK("https://www.youtube.com/watch?v=2mRdMmcmFEI&amp;t=390s", "Go to time")</f>
        <v/>
      </c>
    </row>
    <row r="447">
      <c r="A447">
        <f>HYPERLINK("https://www.youtube.com/watch?v=nJ0VmT0D8ew", "Video")</f>
        <v/>
      </c>
      <c r="B447" t="inlineStr">
        <is>
          <t>6:06</t>
        </is>
      </c>
      <c r="C447" t="inlineStr">
        <is>
          <t>When you drive a car down the road,</t>
        </is>
      </c>
      <c r="D447">
        <f>HYPERLINK("https://www.youtube.com/watch?v=nJ0VmT0D8ew&amp;t=366s", "Go to time")</f>
        <v/>
      </c>
    </row>
    <row r="448">
      <c r="A448">
        <f>HYPERLINK("https://www.youtube.com/watch?v=KF7GkY7MmOs", "Video")</f>
        <v/>
      </c>
      <c r="B448" t="inlineStr">
        <is>
          <t>1:18</t>
        </is>
      </c>
      <c r="C448" t="inlineStr">
        <is>
          <t>right we train you how to drive a car we</t>
        </is>
      </c>
      <c r="D448">
        <f>HYPERLINK("https://www.youtube.com/watch?v=KF7GkY7MmOs&amp;t=78s", "Go to time")</f>
        <v/>
      </c>
    </row>
    <row r="449">
      <c r="A449">
        <f>HYPERLINK("https://www.youtube.com/watch?v=3XNQFqUwCnU", "Video")</f>
        <v/>
      </c>
      <c r="B449" t="inlineStr">
        <is>
          <t>1:00</t>
        </is>
      </c>
      <c r="C449" t="inlineStr">
        <is>
          <t>The main driver of climate
change today are human emissions</t>
        </is>
      </c>
      <c r="D449">
        <f>HYPERLINK("https://www.youtube.com/watch?v=3XNQFqUwCnU&amp;t=60s", "Go to time")</f>
        <v/>
      </c>
    </row>
    <row r="450">
      <c r="A450">
        <f>HYPERLINK("https://www.youtube.com/watch?v=3XNQFqUwCnU", "Video")</f>
        <v/>
      </c>
      <c r="B450" t="inlineStr">
        <is>
          <t>4:28</t>
        </is>
      </c>
      <c r="C450" t="inlineStr">
        <is>
          <t>to reduce our transport
emissions is just to drive less,</t>
        </is>
      </c>
      <c r="D450">
        <f>HYPERLINK("https://www.youtube.com/watch?v=3XNQFqUwCnU&amp;t=268s", "Go to time")</f>
        <v/>
      </c>
    </row>
    <row r="451">
      <c r="A451">
        <f>HYPERLINK("https://www.youtube.com/watch?v=3XNQFqUwCnU", "Video")</f>
        <v/>
      </c>
      <c r="B451" t="inlineStr">
        <is>
          <t>5:11</t>
        </is>
      </c>
      <c r="C451" t="inlineStr">
        <is>
          <t>the average driver will have
paid off the carbon debt</t>
        </is>
      </c>
      <c r="D451">
        <f>HYPERLINK("https://www.youtube.com/watch?v=3XNQFqUwCnU&amp;t=311s", "Go to time")</f>
        <v/>
      </c>
    </row>
    <row r="452">
      <c r="A452">
        <f>HYPERLINK("https://www.youtube.com/watch?v=3XNQFqUwCnU", "Video")</f>
        <v/>
      </c>
      <c r="B452" t="inlineStr">
        <is>
          <t>9:20</t>
        </is>
      </c>
      <c r="C452" t="inlineStr">
        <is>
          <t>that we drive the cost down</t>
        </is>
      </c>
      <c r="D452">
        <f>HYPERLINK("https://www.youtube.com/watch?v=3XNQFqUwCnU&amp;t=560s", "Go to time")</f>
        <v/>
      </c>
    </row>
    <row r="453">
      <c r="A453">
        <f>HYPERLINK("https://www.youtube.com/watch?v=3XNQFqUwCnU", "Video")</f>
        <v/>
      </c>
      <c r="B453" t="inlineStr">
        <is>
          <t>10:22</t>
        </is>
      </c>
      <c r="C453" t="inlineStr">
        <is>
          <t>to drive this further.</t>
        </is>
      </c>
      <c r="D453">
        <f>HYPERLINK("https://www.youtube.com/watch?v=3XNQFqUwCnU&amp;t=622s", "Go to time")</f>
        <v/>
      </c>
    </row>
    <row r="454">
      <c r="A454">
        <f>HYPERLINK("https://www.youtube.com/watch?v=339jKowpLSE", "Video")</f>
        <v/>
      </c>
      <c r="B454" t="inlineStr">
        <is>
          <t>3:43</t>
        </is>
      </c>
      <c r="C454" t="inlineStr">
        <is>
          <t>been a greater drive towards Open Access</t>
        </is>
      </c>
      <c r="D454">
        <f>HYPERLINK("https://www.youtube.com/watch?v=339jKowpLSE&amp;t=223s", "Go to time")</f>
        <v/>
      </c>
    </row>
    <row r="455">
      <c r="A455">
        <f>HYPERLINK("https://www.youtube.com/watch?v=kE9dCLbkKD8", "Video")</f>
        <v/>
      </c>
      <c r="B455" t="inlineStr">
        <is>
          <t>0:09</t>
        </is>
      </c>
      <c r="C455" t="inlineStr">
        <is>
          <t>period going into each election drive a</t>
        </is>
      </c>
      <c r="D455">
        <f>HYPERLINK("https://www.youtube.com/watch?v=kE9dCLbkKD8&amp;t=9s", "Go to time")</f>
        <v/>
      </c>
    </row>
    <row r="456">
      <c r="A456">
        <f>HYPERLINK("https://www.youtube.com/watch?v=kE9dCLbkKD8", "Video")</f>
        <v/>
      </c>
      <c r="B456" t="inlineStr">
        <is>
          <t>0:41</t>
        </is>
      </c>
      <c r="C456" t="inlineStr">
        <is>
          <t>school or on securing a driver's license</t>
        </is>
      </c>
      <c r="D456">
        <f>HYPERLINK("https://www.youtube.com/watch?v=kE9dCLbkKD8&amp;t=41s", "Go to time")</f>
        <v/>
      </c>
    </row>
    <row r="457">
      <c r="A457">
        <f>HYPERLINK("https://www.youtube.com/watch?v=kE9dCLbkKD8", "Video")</f>
        <v/>
      </c>
      <c r="B457" t="inlineStr">
        <is>
          <t>1:17</t>
        </is>
      </c>
      <c r="C457" t="inlineStr">
        <is>
          <t>pursue it appropriately drive a pressure</t>
        </is>
      </c>
      <c r="D457">
        <f>HYPERLINK("https://www.youtube.com/watch?v=kE9dCLbkKD8&amp;t=77s", "Go to time")</f>
        <v/>
      </c>
    </row>
    <row r="458">
      <c r="A458">
        <f>HYPERLINK("https://www.youtube.com/watch?v=gt0rpqnVdPI", "Video")</f>
        <v/>
      </c>
      <c r="B458" t="inlineStr">
        <is>
          <t>0:57</t>
        </is>
      </c>
      <c r="C458" t="inlineStr">
        <is>
          <t>But once you drive through the gates</t>
        </is>
      </c>
      <c r="D458">
        <f>HYPERLINK("https://www.youtube.com/watch?v=gt0rpqnVdPI&amp;t=57s", "Go to time")</f>
        <v/>
      </c>
    </row>
    <row r="459">
      <c r="A459">
        <f>HYPERLINK("https://www.youtube.com/watch?v=gt0rpqnVdPI", "Video")</f>
        <v/>
      </c>
      <c r="B459" t="inlineStr">
        <is>
          <t>23:39</t>
        </is>
      </c>
      <c r="C459" t="inlineStr">
        <is>
          <t>I'd be like, "Well, I just, I drive</t>
        </is>
      </c>
      <c r="D459">
        <f>HYPERLINK("https://www.youtube.com/watch?v=gt0rpqnVdPI&amp;t=1419s", "Go to time")</f>
        <v/>
      </c>
    </row>
    <row r="460">
      <c r="A460">
        <f>HYPERLINK("https://www.youtube.com/watch?v=gt0rpqnVdPI", "Video")</f>
        <v/>
      </c>
      <c r="B460" t="inlineStr">
        <is>
          <t>32:15</t>
        </is>
      </c>
      <c r="C460" t="inlineStr">
        <is>
          <t>- Do those same questions
still drive you today?</t>
        </is>
      </c>
      <c r="D460">
        <f>HYPERLINK("https://www.youtube.com/watch?v=gt0rpqnVdPI&amp;t=1935s", "Go to time")</f>
        <v/>
      </c>
    </row>
    <row r="461">
      <c r="A461">
        <f>HYPERLINK("https://www.youtube.com/watch?v=gt0rpqnVdPI", "Video")</f>
        <v/>
      </c>
      <c r="B461" t="inlineStr">
        <is>
          <t>33:35</t>
        </is>
      </c>
      <c r="C461" t="inlineStr">
        <is>
          <t>So the hard thing, and this
drives people around me,</t>
        </is>
      </c>
      <c r="D461">
        <f>HYPERLINK("https://www.youtube.com/watch?v=gt0rpqnVdPI&amp;t=2015s", "Go to time")</f>
        <v/>
      </c>
    </row>
    <row r="462">
      <c r="A462">
        <f>HYPERLINK("https://www.youtube.com/watch?v=CO-6iqCum1w", "Video")</f>
        <v/>
      </c>
      <c r="B462" t="inlineStr">
        <is>
          <t>0:07</t>
        </is>
      </c>
      <c r="C462" t="inlineStr">
        <is>
          <t>But I cannot underestimate
how often I'm just driven</t>
        </is>
      </c>
      <c r="D462">
        <f>HYPERLINK("https://www.youtube.com/watch?v=CO-6iqCum1w&amp;t=7s", "Go to time")</f>
        <v/>
      </c>
    </row>
    <row r="463">
      <c r="A463">
        <f>HYPERLINK("https://www.youtube.com/watch?v=cCHuZw4UTas", "Video")</f>
        <v/>
      </c>
      <c r="B463" t="inlineStr">
        <is>
          <t>2:28</t>
        </is>
      </c>
      <c r="C463" t="inlineStr">
        <is>
          <t>process driven company we have a lot of</t>
        </is>
      </c>
      <c r="D463">
        <f>HYPERLINK("https://www.youtube.com/watch?v=cCHuZw4UTas&amp;t=148s", "Go to time")</f>
        <v/>
      </c>
    </row>
    <row r="464">
      <c r="A464">
        <f>HYPERLINK("https://www.youtube.com/watch?v=hDc0d2AZbs8", "Video")</f>
        <v/>
      </c>
      <c r="B464" t="inlineStr">
        <is>
          <t>0:19</t>
        </is>
      </c>
      <c r="C464" t="inlineStr">
        <is>
          <t>airplane it's driven a lot by what the</t>
        </is>
      </c>
      <c r="D464">
        <f>HYPERLINK("https://www.youtube.com/watch?v=hDc0d2AZbs8&amp;t=19s", "Go to time")</f>
        <v/>
      </c>
    </row>
    <row r="465">
      <c r="A465">
        <f>HYPERLINK("https://www.youtube.com/watch?v=4iY8nJR_vFk", "Video")</f>
        <v/>
      </c>
      <c r="B465" t="inlineStr">
        <is>
          <t>0:32</t>
        </is>
      </c>
      <c r="C465" t="inlineStr">
        <is>
          <t>really be the core driver of the global</t>
        </is>
      </c>
      <c r="D465">
        <f>HYPERLINK("https://www.youtube.com/watch?v=4iY8nJR_vFk&amp;t=32s", "Go to time")</f>
        <v/>
      </c>
    </row>
    <row r="466">
      <c r="A466">
        <f>HYPERLINK("https://www.youtube.com/watch?v=teNE748O-vw", "Video")</f>
        <v/>
      </c>
      <c r="B466" t="inlineStr">
        <is>
          <t>4:39</t>
        </is>
      </c>
      <c r="C466" t="inlineStr">
        <is>
          <t>with folks in the future in a
way that will actually drive</t>
        </is>
      </c>
      <c r="D466">
        <f>HYPERLINK("https://www.youtube.com/watch?v=teNE748O-vw&amp;t=279s", "Go to time")</f>
        <v/>
      </c>
    </row>
    <row r="467">
      <c r="A467">
        <f>HYPERLINK("https://www.youtube.com/watch?v=teNE748O-vw", "Video")</f>
        <v/>
      </c>
      <c r="B467" t="inlineStr">
        <is>
          <t>5:53</t>
        </is>
      </c>
      <c r="C467" t="inlineStr">
        <is>
          <t>The official future of
today is mostly driven</t>
        </is>
      </c>
      <c r="D467">
        <f>HYPERLINK("https://www.youtube.com/watch?v=teNE748O-vw&amp;t=353s", "Go to time")</f>
        <v/>
      </c>
    </row>
    <row r="468">
      <c r="A468">
        <f>HYPERLINK("https://www.youtube.com/watch?v=3RWQi0KGPLc", "Video")</f>
        <v/>
      </c>
      <c r="B468" t="inlineStr">
        <is>
          <t>0:33</t>
        </is>
      </c>
      <c r="C468" t="inlineStr">
        <is>
          <t>drive we have a hard drive that works</t>
        </is>
      </c>
      <c r="D468">
        <f>HYPERLINK("https://www.youtube.com/watch?v=3RWQi0KGPLc&amp;t=33s", "Go to time")</f>
        <v/>
      </c>
    </row>
    <row r="469">
      <c r="A469">
        <f>HYPERLINK("https://www.youtube.com/watch?v=3RWQi0KGPLc", "Video")</f>
        <v/>
      </c>
      <c r="B469" t="inlineStr">
        <is>
          <t>0:44</t>
        </is>
      </c>
      <c r="C469" t="inlineStr">
        <is>
          <t>literally the hard drive around with you</t>
        </is>
      </c>
      <c r="D469">
        <f>HYPERLINK("https://www.youtube.com/watch?v=3RWQi0KGPLc&amp;t=44s", "Go to time")</f>
        <v/>
      </c>
    </row>
    <row r="470">
      <c r="A470">
        <f>HYPERLINK("https://www.youtube.com/watch?v=3RWQi0KGPLc", "Video")</f>
        <v/>
      </c>
      <c r="B470" t="inlineStr">
        <is>
          <t>1:09</t>
        </is>
      </c>
      <c r="C470" t="inlineStr">
        <is>
          <t>so much on my hard drive and the notes</t>
        </is>
      </c>
      <c r="D470">
        <f>HYPERLINK("https://www.youtube.com/watch?v=3RWQi0KGPLc&amp;t=69s", "Go to time")</f>
        <v/>
      </c>
    </row>
    <row r="471">
      <c r="A471">
        <f>HYPERLINK("https://www.youtube.com/watch?v=3RWQi0KGPLc", "Video")</f>
        <v/>
      </c>
      <c r="B471" t="inlineStr">
        <is>
          <t>1:59</t>
        </is>
      </c>
      <c r="C471" t="inlineStr">
        <is>
          <t>what the hard drives all about we don't</t>
        </is>
      </c>
      <c r="D471">
        <f>HYPERLINK("https://www.youtube.com/watch?v=3RWQi0KGPLc&amp;t=119s", "Go to time")</f>
        <v/>
      </c>
    </row>
    <row r="472">
      <c r="A472">
        <f>HYPERLINK("https://www.youtube.com/watch?v=3RWQi0KGPLc", "Video")</f>
        <v/>
      </c>
      <c r="B472" t="inlineStr">
        <is>
          <t>2:36</t>
        </is>
      </c>
      <c r="C472" t="inlineStr">
        <is>
          <t>hard drive in order to make those</t>
        </is>
      </c>
      <c r="D472">
        <f>HYPERLINK("https://www.youtube.com/watch?v=3RWQi0KGPLc&amp;t=156s", "Go to time")</f>
        <v/>
      </c>
    </row>
    <row r="473">
      <c r="A473">
        <f>HYPERLINK("https://www.youtube.com/watch?v=3RWQi0KGPLc", "Video")</f>
        <v/>
      </c>
      <c r="B473" t="inlineStr">
        <is>
          <t>2:58</t>
        </is>
      </c>
      <c r="C473" t="inlineStr">
        <is>
          <t>onto hard drives you know you wouldn't</t>
        </is>
      </c>
      <c r="D473">
        <f>HYPERLINK("https://www.youtube.com/watch?v=3RWQi0KGPLc&amp;t=178s", "Go to time")</f>
        <v/>
      </c>
    </row>
    <row r="474">
      <c r="A474">
        <f>HYPERLINK("https://www.youtube.com/watch?v=lQd7zqyd_EM", "Video")</f>
        <v/>
      </c>
      <c r="B474" t="inlineStr">
        <is>
          <t>2:07</t>
        </is>
      </c>
      <c r="C474" t="inlineStr">
        <is>
          <t>easily drive that look how much money</t>
        </is>
      </c>
      <c r="D474">
        <f>HYPERLINK("https://www.youtube.com/watch?v=lQd7zqyd_EM&amp;t=127s", "Go to time")</f>
        <v/>
      </c>
    </row>
    <row r="475">
      <c r="A475">
        <f>HYPERLINK("https://www.youtube.com/watch?v=ke8oFS8-fBk", "Video")</f>
        <v/>
      </c>
      <c r="B475" t="inlineStr">
        <is>
          <t>11:20</t>
        </is>
      </c>
      <c r="C475" t="inlineStr">
        <is>
          <t>of one single unsubtle
TNT-driven explosive cause</t>
        </is>
      </c>
      <c r="D475">
        <f>HYPERLINK("https://www.youtube.com/watch?v=ke8oFS8-fBk&amp;t=680s", "Go to time")</f>
        <v/>
      </c>
    </row>
    <row r="476">
      <c r="A476">
        <f>HYPERLINK("https://www.youtube.com/watch?v=LG6bYMwonBY", "Video")</f>
        <v/>
      </c>
      <c r="B476" t="inlineStr">
        <is>
          <t>1:49</t>
        </is>
      </c>
      <c r="C476" t="inlineStr">
        <is>
          <t>For instance, 20 year olds drive with their
cell phone glued to their ears not realizing</t>
        </is>
      </c>
      <c r="D476">
        <f>HYPERLINK("https://www.youtube.com/watch?v=LG6bYMwonBY&amp;t=109s", "Go to time")</f>
        <v/>
      </c>
    </row>
    <row r="477">
      <c r="A477">
        <f>HYPERLINK("https://www.youtube.com/watch?v=2jk2scOd2ps", "Video")</f>
        <v/>
      </c>
      <c r="B477" t="inlineStr">
        <is>
          <t>7:05</t>
        </is>
      </c>
      <c r="C477" t="inlineStr">
        <is>
          <t>have an external hard drive that we can</t>
        </is>
      </c>
      <c r="D477">
        <f>HYPERLINK("https://www.youtube.com/watch?v=2jk2scOd2ps&amp;t=425s", "Go to time")</f>
        <v/>
      </c>
    </row>
    <row r="478">
      <c r="A478">
        <f>HYPERLINK("https://www.youtube.com/watch?v=5AXSEjq_K-w", "Video")</f>
        <v/>
      </c>
      <c r="B478" t="inlineStr">
        <is>
          <t>4:06</t>
        </is>
      </c>
      <c r="C478" t="inlineStr">
        <is>
          <t>you drive along it and that you you will</t>
        </is>
      </c>
      <c r="D478">
        <f>HYPERLINK("https://www.youtube.com/watch?v=5AXSEjq_K-w&amp;t=246s", "Go to time")</f>
        <v/>
      </c>
    </row>
    <row r="479">
      <c r="A479">
        <f>HYPERLINK("https://www.youtube.com/watch?v=z4WxJJ5Mrlc", "Video")</f>
        <v/>
      </c>
      <c r="B479" t="inlineStr">
        <is>
          <t>0:24</t>
        </is>
      </c>
      <c r="C479" t="inlineStr">
        <is>
          <t>If you want to prove to
me that sex is a drive,</t>
        </is>
      </c>
      <c r="D479">
        <f>HYPERLINK("https://www.youtube.com/watch?v=z4WxJJ5Mrlc&amp;t=24s", "Go to time")</f>
        <v/>
      </c>
    </row>
    <row r="480">
      <c r="A480">
        <f>HYPERLINK("https://www.youtube.com/watch?v=z4WxJJ5Mrlc", "Video")</f>
        <v/>
      </c>
      <c r="B480" t="inlineStr">
        <is>
          <t>0:36</t>
        </is>
      </c>
      <c r="C480" t="inlineStr">
        <is>
          <t>scientists more or less
treated sex as a drive.</t>
        </is>
      </c>
      <c r="D480">
        <f>HYPERLINK("https://www.youtube.com/watch?v=z4WxJJ5Mrlc&amp;t=36s", "Go to time")</f>
        <v/>
      </c>
    </row>
    <row r="481">
      <c r="A481">
        <f>HYPERLINK("https://www.youtube.com/watch?v=z4WxJJ5Mrlc", "Video")</f>
        <v/>
      </c>
      <c r="B481" t="inlineStr">
        <is>
          <t>0:42</t>
        </is>
      </c>
      <c r="C481" t="inlineStr">
        <is>
          <t>'Drive' is a very specific
kind of motivational system</t>
        </is>
      </c>
      <c r="D481">
        <f>HYPERLINK("https://www.youtube.com/watch?v=z4WxJJ5Mrlc&amp;t=42s", "Go to time")</f>
        <v/>
      </c>
    </row>
    <row r="482">
      <c r="A482">
        <f>HYPERLINK("https://www.youtube.com/watch?v=z4WxJJ5Mrlc", "Video")</f>
        <v/>
      </c>
      <c r="B482" t="inlineStr">
        <is>
          <t>0:54</t>
        </is>
      </c>
      <c r="C482" t="inlineStr">
        <is>
          <t>So thirst is a drive.</t>
        </is>
      </c>
      <c r="D482">
        <f>HYPERLINK("https://www.youtube.com/watch?v=z4WxJJ5Mrlc&amp;t=54s", "Go to time")</f>
        <v/>
      </c>
    </row>
    <row r="483">
      <c r="A483">
        <f>HYPERLINK("https://www.youtube.com/watch?v=z4WxJJ5Mrlc", "Video")</f>
        <v/>
      </c>
      <c r="B483" t="inlineStr">
        <is>
          <t>0:56</t>
        </is>
      </c>
      <c r="C483" t="inlineStr">
        <is>
          <t>Hunger is a drive.</t>
        </is>
      </c>
      <c r="D483">
        <f>HYPERLINK("https://www.youtube.com/watch?v=z4WxJJ5Mrlc&amp;t=56s", "Go to time")</f>
        <v/>
      </c>
    </row>
    <row r="484">
      <c r="A484">
        <f>HYPERLINK("https://www.youtube.com/watch?v=z4WxJJ5Mrlc", "Video")</f>
        <v/>
      </c>
      <c r="B484" t="inlineStr">
        <is>
          <t>0:57</t>
        </is>
      </c>
      <c r="C484" t="inlineStr">
        <is>
          <t>Sleep, even, is a drive.</t>
        </is>
      </c>
      <c r="D484">
        <f>HYPERLINK("https://www.youtube.com/watch?v=z4WxJJ5Mrlc&amp;t=57s", "Go to time")</f>
        <v/>
      </c>
    </row>
    <row r="485">
      <c r="A485">
        <f>HYPERLINK("https://www.youtube.com/watch?v=z4WxJJ5Mrlc", "Video")</f>
        <v/>
      </c>
      <c r="B485" t="inlineStr">
        <is>
          <t>1:22</t>
        </is>
      </c>
      <c r="C485" t="inlineStr">
        <is>
          <t>We can go ahead and say "sex drive":</t>
        </is>
      </c>
      <c r="D485">
        <f>HYPERLINK("https://www.youtube.com/watch?v=z4WxJJ5Mrlc&amp;t=82s", "Go to time")</f>
        <v/>
      </c>
    </row>
    <row r="486">
      <c r="A486">
        <f>HYPERLINK("https://www.youtube.com/watch?v=z4WxJJ5Mrlc", "Video")</f>
        <v/>
      </c>
      <c r="B486" t="inlineStr">
        <is>
          <t>1:29</t>
        </is>
      </c>
      <c r="C486" t="inlineStr">
        <is>
          <t>It is just as innate and just
as natural as a drive system,</t>
        </is>
      </c>
      <c r="D486">
        <f>HYPERLINK("https://www.youtube.com/watch?v=z4WxJJ5Mrlc&amp;t=89s", "Go to time")</f>
        <v/>
      </c>
    </row>
    <row r="487">
      <c r="A487">
        <f>HYPERLINK("https://www.youtube.com/watch?v=z4WxJJ5Mrlc", "Video")</f>
        <v/>
      </c>
      <c r="B487" t="inlineStr">
        <is>
          <t>2:51</t>
        </is>
      </c>
      <c r="C487" t="inlineStr">
        <is>
          <t>that it might be a drive is,</t>
        </is>
      </c>
      <c r="D487">
        <f>HYPERLINK("https://www.youtube.com/watch?v=z4WxJJ5Mrlc&amp;t=171s", "Go to time")</f>
        <v/>
      </c>
    </row>
    <row r="488">
      <c r="A488">
        <f>HYPERLINK("https://www.youtube.com/watch?v=z4WxJJ5Mrlc", "Video")</f>
        <v/>
      </c>
      <c r="B488" t="inlineStr">
        <is>
          <t>2:58</t>
        </is>
      </c>
      <c r="C488" t="inlineStr">
        <is>
          <t>What about a drive to move my genes</t>
        </is>
      </c>
      <c r="D488">
        <f>HYPERLINK("https://www.youtube.com/watch?v=z4WxJJ5Mrlc&amp;t=178s", "Go to time")</f>
        <v/>
      </c>
    </row>
    <row r="489">
      <c r="A489">
        <f>HYPERLINK("https://www.youtube.com/watch?v=z4WxJJ5Mrlc", "Video")</f>
        <v/>
      </c>
      <c r="B489" t="inlineStr">
        <is>
          <t>3:04</t>
        </is>
      </c>
      <c r="C489" t="inlineStr">
        <is>
          <t>define the term drive.</t>
        </is>
      </c>
      <c r="D489">
        <f>HYPERLINK("https://www.youtube.com/watch?v=z4WxJJ5Mrlc&amp;t=184s", "Go to time")</f>
        <v/>
      </c>
    </row>
    <row r="490">
      <c r="A490">
        <f>HYPERLINK("https://www.youtube.com/watch?v=ylUh1py8mDY", "Video")</f>
        <v/>
      </c>
      <c r="B490" t="inlineStr">
        <is>
          <t>0:16</t>
        </is>
      </c>
      <c r="C490" t="inlineStr">
        <is>
          <t>driver to because I I don't drive myself</t>
        </is>
      </c>
      <c r="D490">
        <f>HYPERLINK("https://www.youtube.com/watch?v=ylUh1py8mDY&amp;t=16s", "Go to time")</f>
        <v/>
      </c>
    </row>
    <row r="491">
      <c r="A491">
        <f>HYPERLINK("https://www.youtube.com/watch?v=ylUh1py8mDY", "Video")</f>
        <v/>
      </c>
      <c r="B491" t="inlineStr">
        <is>
          <t>0:20</t>
        </is>
      </c>
      <c r="C491" t="inlineStr">
        <is>
          <t>so Atlantic monley had to hire a driver</t>
        </is>
      </c>
      <c r="D491">
        <f>HYPERLINK("https://www.youtube.com/watch?v=ylUh1py8mDY&amp;t=20s", "Go to time")</f>
        <v/>
      </c>
    </row>
    <row r="492">
      <c r="A492">
        <f>HYPERLINK("https://www.youtube.com/watch?v=IhCf5AkII8Q", "Video")</f>
        <v/>
      </c>
      <c r="B492" t="inlineStr">
        <is>
          <t>0:20</t>
        </is>
      </c>
      <c r="C492" t="inlineStr">
        <is>
          <t>blue collar manufacturing driven steel</t>
        </is>
      </c>
      <c r="D492">
        <f>HYPERLINK("https://www.youtube.com/watch?v=IhCf5AkII8Q&amp;t=20s", "Go to time")</f>
        <v/>
      </c>
    </row>
    <row r="493">
      <c r="A493">
        <f>HYPERLINK("https://www.youtube.com/watch?v=IhCf5AkII8Q", "Video")</f>
        <v/>
      </c>
      <c r="B493" t="inlineStr">
        <is>
          <t>6:55</t>
        </is>
      </c>
      <c r="C493" t="inlineStr">
        <is>
          <t>to eat and drive things and and we need</t>
        </is>
      </c>
      <c r="D493">
        <f>HYPERLINK("https://www.youtube.com/watch?v=IhCf5AkII8Q&amp;t=415s", "Go to time")</f>
        <v/>
      </c>
    </row>
    <row r="494">
      <c r="A494">
        <f>HYPERLINK("https://www.youtube.com/watch?v=rmVcW5VMTX8", "Video")</f>
        <v/>
      </c>
      <c r="B494" t="inlineStr">
        <is>
          <t>2:26</t>
        </is>
      </c>
      <c r="C494" t="inlineStr">
        <is>
          <t>or are increased um and will drive the</t>
        </is>
      </c>
      <c r="D494">
        <f>HYPERLINK("https://www.youtube.com/watch?v=rmVcW5VMTX8&amp;t=146s", "Go to time")</f>
        <v/>
      </c>
    </row>
    <row r="495">
      <c r="A495">
        <f>HYPERLINK("https://www.youtube.com/watch?v=vrPW6HKv71Q", "Video")</f>
        <v/>
      </c>
      <c r="B495" t="inlineStr">
        <is>
          <t>0:59</t>
        </is>
      </c>
      <c r="C495" t="inlineStr">
        <is>
          <t>how the world came together to successfully
drive Y2K conversion as one of the most successful</t>
        </is>
      </c>
      <c r="D495">
        <f>HYPERLINK("https://www.youtube.com/watch?v=vrPW6HKv71Q&amp;t=59s", "Go to time")</f>
        <v/>
      </c>
    </row>
    <row r="496">
      <c r="A496">
        <f>HYPERLINK("https://www.youtube.com/watch?v=vrPW6HKv71Q", "Video")</f>
        <v/>
      </c>
      <c r="B496" t="inlineStr">
        <is>
          <t>1:10</t>
        </is>
      </c>
      <c r="C496" t="inlineStr">
        <is>
          <t>Here’s what happened to drive successful
resolution of digital transformation during</t>
        </is>
      </c>
      <c r="D496">
        <f>HYPERLINK("https://www.youtube.com/watch?v=vrPW6HKv71Q&amp;t=70s", "Go to time")</f>
        <v/>
      </c>
    </row>
    <row r="497">
      <c r="A497">
        <f>HYPERLINK("https://www.youtube.com/watch?v=Jtn2Wxai-ug", "Video")</f>
        <v/>
      </c>
      <c r="B497" t="inlineStr">
        <is>
          <t>41:01</t>
        </is>
      </c>
      <c r="C497" t="inlineStr">
        <is>
          <t>Not everyone is going to
drive 60 miles an hour</t>
        </is>
      </c>
      <c r="D497">
        <f>HYPERLINK("https://www.youtube.com/watch?v=Jtn2Wxai-ug&amp;t=2461s", "Go to time")</f>
        <v/>
      </c>
    </row>
    <row r="498">
      <c r="A498">
        <f>HYPERLINK("https://www.youtube.com/watch?v=Jtn2Wxai-ug", "Video")</f>
        <v/>
      </c>
      <c r="B498" t="inlineStr">
        <is>
          <t>41:06</t>
        </is>
      </c>
      <c r="C498" t="inlineStr">
        <is>
          <t>But most people will
drive somewhere near it.</t>
        </is>
      </c>
      <c r="D498">
        <f>HYPERLINK("https://www.youtube.com/watch?v=Jtn2Wxai-ug&amp;t=2466s", "Go to time")</f>
        <v/>
      </c>
    </row>
    <row r="499">
      <c r="A499">
        <f>HYPERLINK("https://www.youtube.com/watch?v=Jtn2Wxai-ug", "Video")</f>
        <v/>
      </c>
      <c r="B499" t="inlineStr">
        <is>
          <t>41:57</t>
        </is>
      </c>
      <c r="C499" t="inlineStr">
        <is>
          <t>because efficiency is the main driver</t>
        </is>
      </c>
      <c r="D499">
        <f>HYPERLINK("https://www.youtube.com/watch?v=Jtn2Wxai-ug&amp;t=2517s", "Go to time")</f>
        <v/>
      </c>
    </row>
    <row r="500">
      <c r="A500">
        <f>HYPERLINK("https://www.youtube.com/watch?v=Jtn2Wxai-ug", "Video")</f>
        <v/>
      </c>
      <c r="B500" t="inlineStr">
        <is>
          <t>52:00</t>
        </is>
      </c>
      <c r="C500" t="inlineStr">
        <is>
          <t>machine learning driven models</t>
        </is>
      </c>
      <c r="D500">
        <f>HYPERLINK("https://www.youtube.com/watch?v=Jtn2Wxai-ug&amp;t=3120s", "Go to time")</f>
        <v/>
      </c>
    </row>
    <row r="501">
      <c r="A501">
        <f>HYPERLINK("https://www.youtube.com/watch?v=Jtn2Wxai-ug", "Video")</f>
        <v/>
      </c>
      <c r="B501" t="inlineStr">
        <is>
          <t>62:23</t>
        </is>
      </c>
      <c r="C501" t="inlineStr">
        <is>
          <t>that we have the driver's
seat of our lives,</t>
        </is>
      </c>
      <c r="D501">
        <f>HYPERLINK("https://www.youtube.com/watch?v=Jtn2Wxai-ug&amp;t=3743s", "Go to time")</f>
        <v/>
      </c>
    </row>
    <row r="502">
      <c r="A502">
        <f>HYPERLINK("https://www.youtube.com/watch?v=Jtn2Wxai-ug", "Video")</f>
        <v/>
      </c>
      <c r="B502" t="inlineStr">
        <is>
          <t>62:26</t>
        </is>
      </c>
      <c r="C502" t="inlineStr">
        <is>
          <t>that we're sitting in the
driver's seat of our lives,</t>
        </is>
      </c>
      <c r="D502">
        <f>HYPERLINK("https://www.youtube.com/watch?v=Jtn2Wxai-ug&amp;t=3746s", "Go to time")</f>
        <v/>
      </c>
    </row>
    <row r="503">
      <c r="A503">
        <f>HYPERLINK("https://www.youtube.com/watch?v=Jtn2Wxai-ug", "Video")</f>
        <v/>
      </c>
      <c r="B503" t="inlineStr">
        <is>
          <t>65:10</t>
        </is>
      </c>
      <c r="C503" t="inlineStr">
        <is>
          <t>A lot of this is driven by technology.</t>
        </is>
      </c>
      <c r="D503">
        <f>HYPERLINK("https://www.youtube.com/watch?v=Jtn2Wxai-ug&amp;t=3910s", "Go to time")</f>
        <v/>
      </c>
    </row>
    <row r="504">
      <c r="A504">
        <f>HYPERLINK("https://www.youtube.com/watch?v=Jtn2Wxai-ug", "Video")</f>
        <v/>
      </c>
      <c r="B504" t="inlineStr">
        <is>
          <t>84:27</t>
        </is>
      </c>
      <c r="C504" t="inlineStr">
        <is>
          <t>Now, this is a problem
because our brains are driven</t>
        </is>
      </c>
      <c r="D504">
        <f>HYPERLINK("https://www.youtube.com/watch?v=Jtn2Wxai-ug&amp;t=5067s", "Go to time")</f>
        <v/>
      </c>
    </row>
    <row r="505">
      <c r="A505">
        <f>HYPERLINK("https://www.youtube.com/watch?v=Jtn2Wxai-ug", "Video")</f>
        <v/>
      </c>
      <c r="B505" t="inlineStr">
        <is>
          <t>84:32</t>
        </is>
      </c>
      <c r="C505" t="inlineStr">
        <is>
          <t>and our brains are also
driven to find explanations</t>
        </is>
      </c>
      <c r="D505">
        <f>HYPERLINK("https://www.youtube.com/watch?v=Jtn2Wxai-ug&amp;t=5072s", "Go to time")</f>
        <v/>
      </c>
    </row>
    <row r="506">
      <c r="A506">
        <f>HYPERLINK("https://www.youtube.com/watch?v=Jtn2Wxai-ug", "Video")</f>
        <v/>
      </c>
      <c r="B506" t="inlineStr">
        <is>
          <t>85:06</t>
        </is>
      </c>
      <c r="C506" t="inlineStr">
        <is>
          <t>And that's the driver of evolution.</t>
        </is>
      </c>
      <c r="D506">
        <f>HYPERLINK("https://www.youtube.com/watch?v=Jtn2Wxai-ug&amp;t=5106s", "Go to time")</f>
        <v/>
      </c>
    </row>
    <row r="507">
      <c r="A507">
        <f>HYPERLINK("https://www.youtube.com/watch?v=Jtn2Wxai-ug", "Video")</f>
        <v/>
      </c>
      <c r="B507" t="inlineStr">
        <is>
          <t>90:22</t>
        </is>
      </c>
      <c r="C507" t="inlineStr">
        <is>
          <t>as a major driver in our modern politics.</t>
        </is>
      </c>
      <c r="D507">
        <f>HYPERLINK("https://www.youtube.com/watch?v=Jtn2Wxai-ug&amp;t=5422s", "Go to time")</f>
        <v/>
      </c>
    </row>
    <row r="508">
      <c r="A508">
        <f>HYPERLINK("https://www.youtube.com/watch?v=FvsFWUo2iIw", "Video")</f>
        <v/>
      </c>
      <c r="B508" t="inlineStr">
        <is>
          <t>0:58</t>
        </is>
      </c>
      <c r="C508" t="inlineStr">
        <is>
          <t>will be the marketplace which then begins to 
drive the whole thing forward because of the</t>
        </is>
      </c>
      <c r="D508">
        <f>HYPERLINK("https://www.youtube.com/watch?v=FvsFWUo2iIw&amp;t=58s", "Go to time")</f>
        <v/>
      </c>
    </row>
    <row r="509">
      <c r="A509">
        <f>HYPERLINK("https://www.youtube.com/watch?v=FvsFWUo2iIw", "Video")</f>
        <v/>
      </c>
      <c r="B509" t="inlineStr">
        <is>
          <t>3:55</t>
        </is>
      </c>
      <c r="C509" t="inlineStr">
        <is>
          <t>and if we have the power of the sun on the earth 
then sea water could drive all our machines.</t>
        </is>
      </c>
      <c r="D509">
        <f>HYPERLINK("https://www.youtube.com/watch?v=FvsFWUo2iIw&amp;t=235s", "Go to time")</f>
        <v/>
      </c>
    </row>
    <row r="510">
      <c r="A510">
        <f>HYPERLINK("https://www.youtube.com/watch?v=wqqUZB4XnLo", "Video")</f>
        <v/>
      </c>
      <c r="B510" t="inlineStr">
        <is>
          <t>1:00</t>
        </is>
      </c>
      <c r="C510" t="inlineStr">
        <is>
          <t>is going to be driven in large part</t>
        </is>
      </c>
      <c r="D510">
        <f>HYPERLINK("https://www.youtube.com/watch?v=wqqUZB4XnLo&amp;t=60s", "Go to time")</f>
        <v/>
      </c>
    </row>
    <row r="511">
      <c r="A511">
        <f>HYPERLINK("https://www.youtube.com/watch?v=Mp4VHMotSgw", "Video")</f>
        <v/>
      </c>
      <c r="B511" t="inlineStr">
        <is>
          <t>1:42</t>
        </is>
      </c>
      <c r="C511" t="inlineStr">
        <is>
          <t>driven so an engineer may say well</t>
        </is>
      </c>
      <c r="D511">
        <f>HYPERLINK("https://www.youtube.com/watch?v=Mp4VHMotSgw&amp;t=102s", "Go to time")</f>
        <v/>
      </c>
    </row>
    <row r="512">
      <c r="A512">
        <f>HYPERLINK("https://www.youtube.com/watch?v=-JtkOprZjYU", "Video")</f>
        <v/>
      </c>
      <c r="B512" t="inlineStr">
        <is>
          <t>0:22</t>
        </is>
      </c>
      <c r="C512" t="inlineStr">
        <is>
          <t>drivers for that I think the recent</t>
        </is>
      </c>
      <c r="D512">
        <f>HYPERLINK("https://www.youtube.com/watch?v=-JtkOprZjYU&amp;t=22s", "Go to time")</f>
        <v/>
      </c>
    </row>
    <row r="513">
      <c r="A513">
        <f>HYPERLINK("https://www.youtube.com/watch?v=xEsXkDSISGc", "Video")</f>
        <v/>
      </c>
      <c r="B513" t="inlineStr">
        <is>
          <t>2:25</t>
        </is>
      </c>
      <c r="C513" t="inlineStr">
        <is>
          <t>going to be driven out by these forces</t>
        </is>
      </c>
      <c r="D513">
        <f>HYPERLINK("https://www.youtube.com/watch?v=xEsXkDSISGc&amp;t=145s", "Go to time")</f>
        <v/>
      </c>
    </row>
    <row r="514">
      <c r="A514">
        <f>HYPERLINK("https://www.youtube.com/watch?v=_XphXhnEguM", "Video")</f>
        <v/>
      </c>
      <c r="B514" t="inlineStr">
        <is>
          <t>1:13</t>
        </is>
      </c>
      <c r="C514" t="inlineStr">
        <is>
          <t>drives life elsewhere that is so far our</t>
        </is>
      </c>
      <c r="D514">
        <f>HYPERLINK("https://www.youtube.com/watch?v=_XphXhnEguM&amp;t=73s", "Go to time")</f>
        <v/>
      </c>
    </row>
    <row r="515">
      <c r="A515">
        <f>HYPERLINK("https://www.youtube.com/watch?v=Ask0pBIKdDk", "Video")</f>
        <v/>
      </c>
      <c r="B515" t="inlineStr">
        <is>
          <t>3:04</t>
        </is>
      </c>
      <c r="C515" t="inlineStr">
        <is>
          <t>Here's a good example:
drive-through fast food.</t>
        </is>
      </c>
      <c r="D515">
        <f>HYPERLINK("https://www.youtube.com/watch?v=Ask0pBIKdDk&amp;t=184s", "Go to time")</f>
        <v/>
      </c>
    </row>
    <row r="516">
      <c r="A516">
        <f>HYPERLINK("https://www.youtube.com/watch?v=Ask0pBIKdDk", "Video")</f>
        <v/>
      </c>
      <c r="B516" t="inlineStr">
        <is>
          <t>3:19</t>
        </is>
      </c>
      <c r="C516" t="inlineStr">
        <is>
          <t>why don't we just let them drive through?"</t>
        </is>
      </c>
      <c r="D516">
        <f>HYPERLINK("https://www.youtube.com/watch?v=Ask0pBIKdDk&amp;t=199s", "Go to time")</f>
        <v/>
      </c>
    </row>
    <row r="517">
      <c r="A517">
        <f>HYPERLINK("https://www.youtube.com/watch?v=Ask0pBIKdDk", "Video")</f>
        <v/>
      </c>
      <c r="B517" t="inlineStr">
        <is>
          <t>5:06</t>
        </is>
      </c>
      <c r="C517" t="inlineStr">
        <is>
          <t>it drives ambitious people crazy.</t>
        </is>
      </c>
      <c r="D517">
        <f>HYPERLINK("https://www.youtube.com/watch?v=Ask0pBIKdDk&amp;t=306s", "Go to time")</f>
        <v/>
      </c>
    </row>
    <row r="518">
      <c r="A518">
        <f>HYPERLINK("https://www.youtube.com/watch?v=tAFZTPVFdSE", "Video")</f>
        <v/>
      </c>
      <c r="B518" t="inlineStr">
        <is>
          <t>1:27</t>
        </is>
      </c>
      <c r="C518" t="inlineStr">
        <is>
          <t>are one of the strongest drivers</t>
        </is>
      </c>
      <c r="D518">
        <f>HYPERLINK("https://www.youtube.com/watch?v=tAFZTPVFdSE&amp;t=87s", "Go to time")</f>
        <v/>
      </c>
    </row>
    <row r="519">
      <c r="A519">
        <f>HYPERLINK("https://www.youtube.com/watch?v=7tY6UmatJfI", "Video")</f>
        <v/>
      </c>
      <c r="B519" t="inlineStr">
        <is>
          <t>3:46</t>
        </is>
      </c>
      <c r="C519" t="inlineStr">
        <is>
          <t>the way that you can drive growth and at</t>
        </is>
      </c>
      <c r="D519">
        <f>HYPERLINK("https://www.youtube.com/watch?v=7tY6UmatJfI&amp;t=226s", "Go to time")</f>
        <v/>
      </c>
    </row>
    <row r="520">
      <c r="A520">
        <f>HYPERLINK("https://www.youtube.com/watch?v=tpE0jUO5WoI", "Video")</f>
        <v/>
      </c>
      <c r="B520" t="inlineStr">
        <is>
          <t>0:41</t>
        </is>
      </c>
      <c r="C520" t="inlineStr">
        <is>
          <t>of. Our food systems are the leading driver of 
deforestation, the leading driver of biodiversity</t>
        </is>
      </c>
      <c r="D520">
        <f>HYPERLINK("https://www.youtube.com/watch?v=tpE0jUO5WoI&amp;t=41s", "Go to time")</f>
        <v/>
      </c>
    </row>
    <row r="521">
      <c r="A521">
        <f>HYPERLINK("https://www.youtube.com/watch?v=tpE0jUO5WoI", "Video")</f>
        <v/>
      </c>
      <c r="B521" t="inlineStr">
        <is>
          <t>0:48</t>
        </is>
      </c>
      <c r="C521" t="inlineStr">
        <is>
          <t>loss, the leading driver of fresh water use, 
and the leading driver of water pollution. If</t>
        </is>
      </c>
      <c r="D521">
        <f>HYPERLINK("https://www.youtube.com/watch?v=tpE0jUO5WoI&amp;t=48s", "Go to time")</f>
        <v/>
      </c>
    </row>
    <row r="522">
      <c r="A522">
        <f>HYPERLINK("https://www.youtube.com/watch?v=tpE0jUO5WoI", "Video")</f>
        <v/>
      </c>
      <c r="B522" t="inlineStr">
        <is>
          <t>18:51</t>
        </is>
      </c>
      <c r="C522" t="inlineStr">
        <is>
          <t>leading driver of deforestation and biodiversity 
loss today. We would also massively reduce the</t>
        </is>
      </c>
      <c r="D522">
        <f>HYPERLINK("https://www.youtube.com/watch?v=tpE0jUO5WoI&amp;t=1131s", "Go to time")</f>
        <v/>
      </c>
    </row>
    <row r="523">
      <c r="A523">
        <f>HYPERLINK("https://www.youtube.com/watch?v=tpE0jUO5WoI", "Video")</f>
        <v/>
      </c>
      <c r="B523" t="inlineStr">
        <is>
          <t>19:04</t>
        </is>
      </c>
      <c r="C523" t="inlineStr">
        <is>
          <t>the leading driver of freshwater withdrawals and 
also freshwater pollution. In 2060, we could see a</t>
        </is>
      </c>
      <c r="D523">
        <f>HYPERLINK("https://www.youtube.com/watch?v=tpE0jUO5WoI&amp;t=1144s", "Go to time")</f>
        <v/>
      </c>
    </row>
    <row r="524">
      <c r="A524">
        <f>HYPERLINK("https://www.youtube.com/watch?v=KFs-u1sAV6U", "Video")</f>
        <v/>
      </c>
      <c r="B524" t="inlineStr">
        <is>
          <t>6:00</t>
        </is>
      </c>
      <c r="C524" t="inlineStr">
        <is>
          <t>is the very human drives of emotions.</t>
        </is>
      </c>
      <c r="D524">
        <f>HYPERLINK("https://www.youtube.com/watch?v=KFs-u1sAV6U&amp;t=360s", "Go to time")</f>
        <v/>
      </c>
    </row>
    <row r="525">
      <c r="A525">
        <f>HYPERLINK("https://www.youtube.com/watch?v=Dx_kuLXdpiM", "Video")</f>
        <v/>
      </c>
      <c r="B525" t="inlineStr">
        <is>
          <t>7:30</t>
        </is>
      </c>
      <c r="C525" t="inlineStr">
        <is>
          <t>that should drive so much in terms of</t>
        </is>
      </c>
      <c r="D525">
        <f>HYPERLINK("https://www.youtube.com/watch?v=Dx_kuLXdpiM&amp;t=450s", "Go to time")</f>
        <v/>
      </c>
    </row>
    <row r="526">
      <c r="A526">
        <f>HYPERLINK("https://www.youtube.com/watch?v=--7Dd2sAwPA", "Video")</f>
        <v/>
      </c>
      <c r="B526" t="inlineStr">
        <is>
          <t>0:33</t>
        </is>
      </c>
      <c r="C526" t="inlineStr">
        <is>
          <t>Seventy percent of productivity gains have
been driven by improvements in the skill base.</t>
        </is>
      </c>
      <c r="D526">
        <f>HYPERLINK("https://www.youtube.com/watch?v=--7Dd2sAwPA&amp;t=33s", "Go to time")</f>
        <v/>
      </c>
    </row>
    <row r="527">
      <c r="A527">
        <f>HYPERLINK("https://www.youtube.com/watch?v=tPMCoD1p-x8", "Video")</f>
        <v/>
      </c>
      <c r="B527" t="inlineStr">
        <is>
          <t>7:28</t>
        </is>
      </c>
      <c r="C527" t="inlineStr">
        <is>
          <t>It's driven primarily by two things and primarily
Alzheimer's is the number one driver in this.</t>
        </is>
      </c>
      <c r="D527">
        <f>HYPERLINK("https://www.youtube.com/watch?v=tPMCoD1p-x8&amp;t=448s", "Go to time")</f>
        <v/>
      </c>
    </row>
    <row r="528">
      <c r="A528">
        <f>HYPERLINK("https://www.youtube.com/watch?v=tPMCoD1p-x8", "Video")</f>
        <v/>
      </c>
      <c r="B528" t="inlineStr">
        <is>
          <t>7:34</t>
        </is>
      </c>
      <c r="C528" t="inlineStr">
        <is>
          <t>And the secondary driver unfortunately is
drug overdoses and suicides.</t>
        </is>
      </c>
      <c r="D528">
        <f>HYPERLINK("https://www.youtube.com/watch?v=tPMCoD1p-x8&amp;t=454s", "Go to time")</f>
        <v/>
      </c>
    </row>
    <row r="529">
      <c r="A529">
        <f>HYPERLINK("https://www.youtube.com/watch?v=tPMCoD1p-x8", "Video")</f>
        <v/>
      </c>
      <c r="B529" t="inlineStr">
        <is>
          <t>11:49</t>
        </is>
      </c>
      <c r="C529" t="inlineStr">
        <is>
          <t>Some of that is driven by genuine need and
pain, and so some of those alternatives which</t>
        </is>
      </c>
      <c r="D529">
        <f>HYPERLINK("https://www.youtube.com/watch?v=tPMCoD1p-x8&amp;t=709s", "Go to time")</f>
        <v/>
      </c>
    </row>
    <row r="530">
      <c r="A530">
        <f>HYPERLINK("https://www.youtube.com/watch?v=qTcn9evL644", "Video")</f>
        <v/>
      </c>
      <c r="B530" t="inlineStr">
        <is>
          <t>5:01</t>
        </is>
      </c>
      <c r="C530" t="inlineStr">
        <is>
          <t>or this car that you finally
got in your driveway.</t>
        </is>
      </c>
      <c r="D530">
        <f>HYPERLINK("https://www.youtube.com/watch?v=qTcn9evL644&amp;t=301s", "Go to time")</f>
        <v/>
      </c>
    </row>
    <row r="531">
      <c r="A531">
        <f>HYPERLINK("https://www.youtube.com/watch?v=9Nt6Oqu9a6A", "Video")</f>
        <v/>
      </c>
      <c r="B531" t="inlineStr">
        <is>
          <t>0:34</t>
        </is>
      </c>
      <c r="C531" t="inlineStr">
        <is>
          <t>and one of the things that drives me in</t>
        </is>
      </c>
      <c r="D531">
        <f>HYPERLINK("https://www.youtube.com/watch?v=9Nt6Oqu9a6A&amp;t=34s", "Go to time")</f>
        <v/>
      </c>
    </row>
    <row r="532">
      <c r="A532">
        <f>HYPERLINK("https://www.youtube.com/watch?v=9Nt6Oqu9a6A", "Video")</f>
        <v/>
      </c>
      <c r="B532" t="inlineStr">
        <is>
          <t>1:19</t>
        </is>
      </c>
      <c r="C532" t="inlineStr">
        <is>
          <t>blossom i think everybody and it drives</t>
        </is>
      </c>
      <c r="D532">
        <f>HYPERLINK("https://www.youtube.com/watch?v=9Nt6Oqu9a6A&amp;t=79s", "Go to time")</f>
        <v/>
      </c>
    </row>
    <row r="533">
      <c r="A533">
        <f>HYPERLINK("https://www.youtube.com/watch?v=7WMPChV7QYY", "Video")</f>
        <v/>
      </c>
      <c r="B533" t="inlineStr">
        <is>
          <t>0:40</t>
        </is>
      </c>
      <c r="C533" t="inlineStr">
        <is>
          <t>It really drives something new into the media
and it drives something new that people start</t>
        </is>
      </c>
      <c r="D533">
        <f>HYPERLINK("https://www.youtube.com/watch?v=7WMPChV7QYY&amp;t=40s", "Go to time")</f>
        <v/>
      </c>
    </row>
    <row r="534">
      <c r="A534">
        <f>HYPERLINK("https://www.youtube.com/watch?v=4Z0TxpPSqXI", "Video")</f>
        <v/>
      </c>
      <c r="B534" t="inlineStr">
        <is>
          <t>0:36</t>
        </is>
      </c>
      <c r="C534" t="inlineStr">
        <is>
          <t>There's a competitive drive</t>
        </is>
      </c>
      <c r="D534">
        <f>HYPERLINK("https://www.youtube.com/watch?v=4Z0TxpPSqXI&amp;t=36s", "Go to time")</f>
        <v/>
      </c>
    </row>
    <row r="535">
      <c r="A535">
        <f>HYPERLINK("https://www.youtube.com/watch?v=iDPfM2XOAwU", "Video")</f>
        <v/>
      </c>
      <c r="B535" t="inlineStr">
        <is>
          <t>3:53</t>
        </is>
      </c>
      <c r="C535" t="inlineStr">
        <is>
          <t>driven in some ways by television and by</t>
        </is>
      </c>
      <c r="D535">
        <f>HYPERLINK("https://www.youtube.com/watch?v=iDPfM2XOAwU&amp;t=233s", "Go to time")</f>
        <v/>
      </c>
    </row>
    <row r="536">
      <c r="A536">
        <f>HYPERLINK("https://www.youtube.com/watch?v=iDPfM2XOAwU", "Video")</f>
        <v/>
      </c>
      <c r="B536" t="inlineStr">
        <is>
          <t>5:03</t>
        </is>
      </c>
      <c r="C536" t="inlineStr">
        <is>
          <t>driven by how you ask the question so if</t>
        </is>
      </c>
      <c r="D536">
        <f>HYPERLINK("https://www.youtube.com/watch?v=iDPfM2XOAwU&amp;t=303s", "Go to time")</f>
        <v/>
      </c>
    </row>
    <row r="537">
      <c r="A537">
        <f>HYPERLINK("https://www.youtube.com/watch?v=cI008BjVZUE", "Video")</f>
        <v/>
      </c>
      <c r="B537" t="inlineStr">
        <is>
          <t>0:11</t>
        </is>
      </c>
      <c r="C537" t="inlineStr">
        <is>
          <t>Driven by our strong emotions, we stop making 
rational decisions when it comes to buying.</t>
        </is>
      </c>
      <c r="D537">
        <f>HYPERLINK("https://www.youtube.com/watch?v=cI008BjVZUE&amp;t=11s", "Go to time")</f>
        <v/>
      </c>
    </row>
    <row r="538">
      <c r="A538">
        <f>HYPERLINK("https://www.youtube.com/watch?v=cI008BjVZUE", "Video")</f>
        <v/>
      </c>
      <c r="B538" t="inlineStr">
        <is>
          <t>0:22</t>
        </is>
      </c>
      <c r="C538" t="inlineStr">
        <is>
          <t>our innate desire to seek instant 
gratification drives us to buy more and more.</t>
        </is>
      </c>
      <c r="D538">
        <f>HYPERLINK("https://www.youtube.com/watch?v=cI008BjVZUE&amp;t=22s", "Go to time")</f>
        <v/>
      </c>
    </row>
    <row r="539">
      <c r="A539">
        <f>HYPERLINK("https://www.youtube.com/watch?v=cI008BjVZUE", "Video")</f>
        <v/>
      </c>
      <c r="B539" t="inlineStr">
        <is>
          <t>0:46</t>
        </is>
      </c>
      <c r="C539" t="inlineStr">
        <is>
          <t>NARRATOR: And what really drives our need 
to shop? This is Your Brain on Money.</t>
        </is>
      </c>
      <c r="D539">
        <f>HYPERLINK("https://www.youtube.com/watch?v=cI008BjVZUE&amp;t=46s", "Go to time")</f>
        <v/>
      </c>
    </row>
    <row r="540">
      <c r="A540">
        <f>HYPERLINK("https://www.youtube.com/watch?v=cI008BjVZUE", "Video")</f>
        <v/>
      </c>
      <c r="B540" t="inlineStr">
        <is>
          <t>4:12</t>
        </is>
      </c>
      <c r="C540" t="inlineStr">
        <is>
          <t>It can be difficult to stop spending that's driven 
by the emotional brain, but it's not impossible.</t>
        </is>
      </c>
      <c r="D540">
        <f>HYPERLINK("https://www.youtube.com/watch?v=cI008BjVZUE&amp;t=252s", "Go to time")</f>
        <v/>
      </c>
    </row>
    <row r="541">
      <c r="A541">
        <f>HYPERLINK("https://www.youtube.com/watch?v=Vii-d5p1F1c", "Video")</f>
        <v/>
      </c>
      <c r="B541" t="inlineStr">
        <is>
          <t>21:11</t>
        </is>
      </c>
      <c r="C541" t="inlineStr">
        <is>
          <t>space that drives them all mutually apart from 
one another and even though we are constantly</t>
        </is>
      </c>
      <c r="D541">
        <f>HYPERLINK("https://www.youtube.com/watch?v=Vii-d5p1F1c&amp;t=1271s", "Go to time")</f>
        <v/>
      </c>
    </row>
    <row r="542">
      <c r="A542">
        <f>HYPERLINK("https://www.youtube.com/watch?v=Vii-d5p1F1c", "Video")</f>
        <v/>
      </c>
      <c r="B542" t="inlineStr">
        <is>
          <t>22:15</t>
        </is>
      </c>
      <c r="C542" t="inlineStr">
        <is>
          <t>driven Infinity that represents our quantum 
mechanical universe so when we say hey we've been</t>
        </is>
      </c>
      <c r="D542">
        <f>HYPERLINK("https://www.youtube.com/watch?v=Vii-d5p1F1c&amp;t=1335s", "Go to time")</f>
        <v/>
      </c>
    </row>
    <row r="543">
      <c r="A543">
        <f>HYPERLINK("https://www.youtube.com/watch?v=beFDZENRuS8", "Video")</f>
        <v/>
      </c>
      <c r="B543" t="inlineStr">
        <is>
          <t>1:35</t>
        </is>
      </c>
      <c r="C543" t="inlineStr">
        <is>
          <t>is like trying to learn to
drive by watching NASCAR.</t>
        </is>
      </c>
      <c r="D543">
        <f>HYPERLINK("https://www.youtube.com/watch?v=beFDZENRuS8&amp;t=95s", "Go to time")</f>
        <v/>
      </c>
    </row>
    <row r="544">
      <c r="A544">
        <f>HYPERLINK("https://www.youtube.com/watch?v=huClarhoD4g", "Video")</f>
        <v/>
      </c>
      <c r="B544" t="inlineStr">
        <is>
          <t>0:44</t>
        </is>
      </c>
      <c r="C544" t="inlineStr">
        <is>
          <t>culture to the SAT driven system of</t>
        </is>
      </c>
      <c r="D544">
        <f>HYPERLINK("https://www.youtube.com/watch?v=huClarhoD4g&amp;t=44s", "Go to time")</f>
        <v/>
      </c>
    </row>
    <row r="545">
      <c r="A545">
        <f>HYPERLINK("https://www.youtube.com/watch?v=LEnGW3zEcDw", "Video")</f>
        <v/>
      </c>
      <c r="B545" t="inlineStr">
        <is>
          <t>8:53</t>
        </is>
      </c>
      <c r="C545" t="inlineStr">
        <is>
          <t>organizing drive it makes very good</t>
        </is>
      </c>
      <c r="D545">
        <f>HYPERLINK("https://www.youtube.com/watch?v=LEnGW3zEcDw&amp;t=533s", "Go to time")</f>
        <v/>
      </c>
    </row>
    <row r="546">
      <c r="A546">
        <f>HYPERLINK("https://www.youtube.com/watch?v=Y9ABsREkc_0", "Video")</f>
        <v/>
      </c>
      <c r="B546" t="inlineStr">
        <is>
          <t>2:01</t>
        </is>
      </c>
      <c r="C546" t="inlineStr">
        <is>
          <t>is how our attention
may drive this process</t>
        </is>
      </c>
      <c r="D546">
        <f>HYPERLINK("https://www.youtube.com/watch?v=Y9ABsREkc_0&amp;t=121s", "Go to time")</f>
        <v/>
      </c>
    </row>
    <row r="547">
      <c r="A547">
        <f>HYPERLINK("https://www.youtube.com/watch?v=EetNsoZdkos", "Video")</f>
        <v/>
      </c>
      <c r="B547" t="inlineStr">
        <is>
          <t>9:26</t>
        </is>
      </c>
      <c r="C547" t="inlineStr">
        <is>
          <t>strategy that will you know will drive</t>
        </is>
      </c>
      <c r="D547">
        <f>HYPERLINK("https://www.youtube.com/watch?v=EetNsoZdkos&amp;t=566s", "Go to time")</f>
        <v/>
      </c>
    </row>
    <row r="548">
      <c r="A548">
        <f>HYPERLINK("https://www.youtube.com/watch?v=mxxnKuh7-Fg", "Video")</f>
        <v/>
      </c>
      <c r="B548" t="inlineStr">
        <is>
          <t>3:54</t>
        </is>
      </c>
      <c r="C548" t="inlineStr">
        <is>
          <t>it's what drives it's why this is this</t>
        </is>
      </c>
      <c r="D548">
        <f>HYPERLINK("https://www.youtube.com/watch?v=mxxnKuh7-Fg&amp;t=234s", "Go to time")</f>
        <v/>
      </c>
    </row>
    <row r="549">
      <c r="A549">
        <f>HYPERLINK("https://www.youtube.com/watch?v=mxxnKuh7-Fg", "Video")</f>
        <v/>
      </c>
      <c r="B549" t="inlineStr">
        <is>
          <t>3:57</t>
        </is>
      </c>
      <c r="C549" t="inlineStr">
        <is>
          <t>economy is 70% driven by consumer</t>
        </is>
      </c>
      <c r="D549">
        <f>HYPERLINK("https://www.youtube.com/watch?v=mxxnKuh7-Fg&amp;t=237s", "Go to time")</f>
        <v/>
      </c>
    </row>
    <row r="550">
      <c r="A550">
        <f>HYPERLINK("https://www.youtube.com/watch?v=z1YkhC_t9pA", "Video")</f>
        <v/>
      </c>
      <c r="B550" t="inlineStr">
        <is>
          <t>3:45</t>
        </is>
      </c>
      <c r="C550" t="inlineStr">
        <is>
          <t>are driven to do research that has</t>
        </is>
      </c>
      <c r="D550">
        <f>HYPERLINK("https://www.youtube.com/watch?v=z1YkhC_t9pA&amp;t=225s", "Go to time")</f>
        <v/>
      </c>
    </row>
    <row r="551">
      <c r="A551">
        <f>HYPERLINK("https://www.youtube.com/watch?v=foYWzdvajvo", "Video")</f>
        <v/>
      </c>
      <c r="B551" t="inlineStr">
        <is>
          <t>14:13</t>
        </is>
      </c>
      <c r="C551" t="inlineStr">
        <is>
          <t>to drive down the cost
of deploying AI systems.</t>
        </is>
      </c>
      <c r="D551">
        <f>HYPERLINK("https://www.youtube.com/watch?v=foYWzdvajvo&amp;t=853s", "Go to time")</f>
        <v/>
      </c>
    </row>
    <row r="552">
      <c r="A552">
        <f>HYPERLINK("https://www.youtube.com/watch?v=dtBtov2f7e4", "Video")</f>
        <v/>
      </c>
      <c r="B552" t="inlineStr">
        <is>
          <t>0:16</t>
        </is>
      </c>
      <c r="C552" t="inlineStr">
        <is>
          <t>And we have those instinctual drives, too.</t>
        </is>
      </c>
      <c r="D552">
        <f>HYPERLINK("https://www.youtube.com/watch?v=dtBtov2f7e4&amp;t=16s", "Go to time")</f>
        <v/>
      </c>
    </row>
    <row r="553">
      <c r="A553">
        <f>HYPERLINK("https://www.youtube.com/watch?v=EE_MEu7xn8Y", "Video")</f>
        <v/>
      </c>
      <c r="B553" t="inlineStr">
        <is>
          <t>6:29</t>
        </is>
      </c>
      <c r="C553" t="inlineStr">
        <is>
          <t>So the idiot driver reflex is the way</t>
        </is>
      </c>
      <c r="D553">
        <f>HYPERLINK("https://www.youtube.com/watch?v=EE_MEu7xn8Y&amp;t=389s", "Go to time")</f>
        <v/>
      </c>
    </row>
    <row r="554">
      <c r="A554">
        <f>HYPERLINK("https://www.youtube.com/watch?v=EE_MEu7xn8Y", "Video")</f>
        <v/>
      </c>
      <c r="B554" t="inlineStr">
        <is>
          <t>7:01</t>
        </is>
      </c>
      <c r="C554" t="inlineStr">
        <is>
          <t>but I feel like idiot driver
reflex is easier to remember.</t>
        </is>
      </c>
      <c r="D554">
        <f>HYPERLINK("https://www.youtube.com/watch?v=EE_MEu7xn8Y&amp;t=421s", "Go to time")</f>
        <v/>
      </c>
    </row>
    <row r="555">
      <c r="A555">
        <f>HYPERLINK("https://www.youtube.com/watch?v=EE_MEu7xn8Y", "Video")</f>
        <v/>
      </c>
      <c r="B555" t="inlineStr">
        <is>
          <t>43:36</t>
        </is>
      </c>
      <c r="C555" t="inlineStr">
        <is>
          <t>with their phones, and still,
there is this ego drive</t>
        </is>
      </c>
      <c r="D555">
        <f>HYPERLINK("https://www.youtube.com/watch?v=EE_MEu7xn8Y&amp;t=2616s", "Go to time")</f>
        <v/>
      </c>
    </row>
    <row r="556">
      <c r="A556">
        <f>HYPERLINK("https://www.youtube.com/watch?v=cikJfEKMadw", "Video")</f>
        <v/>
      </c>
      <c r="B556" t="inlineStr">
        <is>
          <t>2:43</t>
        </is>
      </c>
      <c r="C556" t="inlineStr">
        <is>
          <t>countries uh that's been the driver for</t>
        </is>
      </c>
      <c r="D556">
        <f>HYPERLINK("https://www.youtube.com/watch?v=cikJfEKMadw&amp;t=163s", "Go to time")</f>
        <v/>
      </c>
    </row>
    <row r="557">
      <c r="A557">
        <f>HYPERLINK("https://www.youtube.com/watch?v=cikJfEKMadw", "Video")</f>
        <v/>
      </c>
      <c r="B557" t="inlineStr">
        <is>
          <t>3:22</t>
        </is>
      </c>
      <c r="C557" t="inlineStr">
        <is>
          <t>farmers but an additional driver is that</t>
        </is>
      </c>
      <c r="D557">
        <f>HYPERLINK("https://www.youtube.com/watch?v=cikJfEKMadw&amp;t=202s", "Go to time")</f>
        <v/>
      </c>
    </row>
    <row r="558">
      <c r="A558">
        <f>HYPERLINK("https://www.youtube.com/watch?v=cikJfEKMadw", "Video")</f>
        <v/>
      </c>
      <c r="B558" t="inlineStr">
        <is>
          <t>3:39</t>
        </is>
      </c>
      <c r="C558" t="inlineStr">
        <is>
          <t>beginnings of having the driver be</t>
        </is>
      </c>
      <c r="D558">
        <f>HYPERLINK("https://www.youtube.com/watch?v=cikJfEKMadw&amp;t=219s", "Go to time")</f>
        <v/>
      </c>
    </row>
    <row r="559">
      <c r="A559">
        <f>HYPERLINK("https://www.youtube.com/watch?v=caBeQQLqCbM", "Video")</f>
        <v/>
      </c>
      <c r="B559" t="inlineStr">
        <is>
          <t>0:54</t>
        </is>
      </c>
      <c r="C559" t="inlineStr">
        <is>
          <t>desires your instincts your drives your</t>
        </is>
      </c>
      <c r="D559">
        <f>HYPERLINK("https://www.youtube.com/watch?v=caBeQQLqCbM&amp;t=54s", "Go to time")</f>
        <v/>
      </c>
    </row>
    <row r="560">
      <c r="A560">
        <f>HYPERLINK("https://www.youtube.com/watch?v=v1SGYabxvPM", "Video")</f>
        <v/>
      </c>
      <c r="B560" t="inlineStr">
        <is>
          <t>4:17</t>
        </is>
      </c>
      <c r="C560" t="inlineStr">
        <is>
          <t>From a lot of different experiments we know
this is a much larger driver of political</t>
        </is>
      </c>
      <c r="D560">
        <f>HYPERLINK("https://www.youtube.com/watch?v=v1SGYabxvPM&amp;t=257s", "Go to time")</f>
        <v/>
      </c>
    </row>
    <row r="561">
      <c r="A561">
        <f>HYPERLINK("https://www.youtube.com/watch?v=KYs3M_qB6hs", "Video")</f>
        <v/>
      </c>
      <c r="B561" t="inlineStr">
        <is>
          <t>3:45</t>
        </is>
      </c>
      <c r="C561" t="inlineStr">
        <is>
          <t>even more consequential that drives me
towards what I want to achieve?</t>
        </is>
      </c>
      <c r="D561">
        <f>HYPERLINK("https://www.youtube.com/watch?v=KYs3M_qB6hs&amp;t=225s", "Go to time")</f>
        <v/>
      </c>
    </row>
    <row r="562">
      <c r="A562">
        <f>HYPERLINK("https://www.youtube.com/watch?v=KYs3M_qB6hs", "Video")</f>
        <v/>
      </c>
      <c r="B562" t="inlineStr">
        <is>
          <t>5:43</t>
        </is>
      </c>
      <c r="C562" t="inlineStr">
        <is>
          <t>that that is done in a way that's gonna
drive you forward.</t>
        </is>
      </c>
      <c r="D562">
        <f>HYPERLINK("https://www.youtube.com/watch?v=KYs3M_qB6hs&amp;t=343s", "Go to time")</f>
        <v/>
      </c>
    </row>
    <row r="563">
      <c r="A563">
        <f>HYPERLINK("https://www.youtube.com/watch?v=41y5KNAW8Aw", "Video")</f>
        <v/>
      </c>
      <c r="B563" t="inlineStr">
        <is>
          <t>0:37</t>
        </is>
      </c>
      <c r="C563" t="inlineStr">
        <is>
          <t>statistically driven that it becomes</t>
        </is>
      </c>
      <c r="D563">
        <f>HYPERLINK("https://www.youtube.com/watch?v=41y5KNAW8Aw&amp;t=37s", "Go to time")</f>
        <v/>
      </c>
    </row>
    <row r="564">
      <c r="A564">
        <f>HYPERLINK("https://www.youtube.com/watch?v=bs2IognqkJI", "Video")</f>
        <v/>
      </c>
      <c r="B564" t="inlineStr">
        <is>
          <t>5:50</t>
        </is>
      </c>
      <c r="C564" t="inlineStr">
        <is>
          <t>and staring at a page full of words and just
trying to kind of drive my attention to solving</t>
        </is>
      </c>
      <c r="D564">
        <f>HYPERLINK("https://www.youtube.com/watch?v=bs2IognqkJI&amp;t=350s", "Go to time")</f>
        <v/>
      </c>
    </row>
    <row r="565">
      <c r="A565">
        <f>HYPERLINK("https://www.youtube.com/watch?v=DKEi0kyXt3M", "Video")</f>
        <v/>
      </c>
      <c r="B565" t="inlineStr">
        <is>
          <t>4:11</t>
        </is>
      </c>
      <c r="C565" t="inlineStr">
        <is>
          <t>different interests, different drives,</t>
        </is>
      </c>
      <c r="D565">
        <f>HYPERLINK("https://www.youtube.com/watch?v=DKEi0kyXt3M&amp;t=251s", "Go to time")</f>
        <v/>
      </c>
    </row>
    <row r="566">
      <c r="A566">
        <f>HYPERLINK("https://www.youtube.com/watch?v=3KeqjT2xyM0", "Video")</f>
        <v/>
      </c>
      <c r="B566" t="inlineStr">
        <is>
          <t>0:59</t>
        </is>
      </c>
      <c r="C566" t="inlineStr">
        <is>
          <t>But I think if you drive up to SFI</t>
        </is>
      </c>
      <c r="D566">
        <f>HYPERLINK("https://www.youtube.com/watch?v=3KeqjT2xyM0&amp;t=59s", "Go to time")</f>
        <v/>
      </c>
    </row>
    <row r="567">
      <c r="A567">
        <f>HYPERLINK("https://www.youtube.com/watch?v=3KeqjT2xyM0", "Video")</f>
        <v/>
      </c>
      <c r="B567" t="inlineStr">
        <is>
          <t>3:49</t>
        </is>
      </c>
      <c r="C567" t="inlineStr">
        <is>
          <t>And they're driven by the expectation</t>
        </is>
      </c>
      <c r="D567">
        <f>HYPERLINK("https://www.youtube.com/watch?v=3KeqjT2xyM0&amp;t=229s", "Go to time")</f>
        <v/>
      </c>
    </row>
    <row r="568">
      <c r="A568">
        <f>HYPERLINK("https://www.youtube.com/watch?v=3KeqjT2xyM0", "Video")</f>
        <v/>
      </c>
      <c r="B568" t="inlineStr">
        <is>
          <t>41:03</t>
        </is>
      </c>
      <c r="C568" t="inlineStr">
        <is>
          <t>and driven by data, it'ss
unconstrained by orthodoxy</t>
        </is>
      </c>
      <c r="D568">
        <f>HYPERLINK("https://www.youtube.com/watch?v=3KeqjT2xyM0&amp;t=2463s", "Go to time")</f>
        <v/>
      </c>
    </row>
    <row r="569">
      <c r="A569">
        <f>HYPERLINK("https://www.youtube.com/watch?v=lOh9uI-UGws", "Video")</f>
        <v/>
      </c>
      <c r="B569" t="inlineStr">
        <is>
          <t>2:17</t>
        </is>
      </c>
      <c r="C569" t="inlineStr">
        <is>
          <t>that balance of an intense drive to get</t>
        </is>
      </c>
      <c r="D569">
        <f>HYPERLINK("https://www.youtube.com/watch?v=lOh9uI-UGws&amp;t=137s", "Go to time")</f>
        <v/>
      </c>
    </row>
    <row r="570">
      <c r="A570">
        <f>HYPERLINK("https://www.youtube.com/watch?v=5SD82opO5Xg", "Video")</f>
        <v/>
      </c>
      <c r="B570" t="inlineStr">
        <is>
          <t>3:04</t>
        </is>
      </c>
      <c r="C570" t="inlineStr">
        <is>
          <t>drive it off a cliff</t>
        </is>
      </c>
      <c r="D570">
        <f>HYPERLINK("https://www.youtube.com/watch?v=5SD82opO5Xg&amp;t=184s", "Go to time")</f>
        <v/>
      </c>
    </row>
    <row r="571">
      <c r="A571">
        <f>HYPERLINK("https://www.youtube.com/watch?v=OzOhay5T7F8", "Video")</f>
        <v/>
      </c>
      <c r="B571" t="inlineStr">
        <is>
          <t>2:06</t>
        </is>
      </c>
      <c r="C571" t="inlineStr">
        <is>
          <t>driven at unsafe speeds and crws</t>
        </is>
      </c>
      <c r="D571">
        <f>HYPERLINK("https://www.youtube.com/watch?v=OzOhay5T7F8&amp;t=126s", "Go to time")</f>
        <v/>
      </c>
    </row>
    <row r="572">
      <c r="A572">
        <f>HYPERLINK("https://www.youtube.com/watch?v=_s_55cKycdA", "Video")</f>
        <v/>
      </c>
      <c r="B572" t="inlineStr">
        <is>
          <t>11:18</t>
        </is>
      </c>
      <c r="C572" t="inlineStr">
        <is>
          <t>so 100k for a little drive through the</t>
        </is>
      </c>
      <c r="D572">
        <f>HYPERLINK("https://www.youtube.com/watch?v=_s_55cKycdA&amp;t=678s", "Go to time")</f>
        <v/>
      </c>
    </row>
    <row r="573">
      <c r="A573">
        <f>HYPERLINK("https://www.youtube.com/watch?v=_s_55cKycdA", "Video")</f>
        <v/>
      </c>
      <c r="B573" t="inlineStr">
        <is>
          <t>11:30</t>
        </is>
      </c>
      <c r="C573" t="inlineStr">
        <is>
          <t>quick drive down by the border</t>
        </is>
      </c>
      <c r="D573">
        <f>HYPERLINK("https://www.youtube.com/watch?v=_s_55cKycdA&amp;t=690s", "Go to time")</f>
        <v/>
      </c>
    </row>
    <row r="574">
      <c r="A574">
        <f>HYPERLINK("https://www.youtube.com/watch?v=JpV49Zw2vpc", "Video")</f>
        <v/>
      </c>
      <c r="B574" t="inlineStr">
        <is>
          <t>1:38</t>
        </is>
      </c>
      <c r="C574" t="inlineStr">
        <is>
          <t>fingers crossed don't yank the drive</t>
        </is>
      </c>
      <c r="D574">
        <f>HYPERLINK("https://www.youtube.com/watch?v=JpV49Zw2vpc&amp;t=98s", "Go to time")</f>
        <v/>
      </c>
    </row>
    <row r="575">
      <c r="A575">
        <f>HYPERLINK("https://www.youtube.com/watch?v=kG5nUYvmyG0", "Video")</f>
        <v/>
      </c>
      <c r="B575" t="inlineStr">
        <is>
          <t>1:13</t>
        </is>
      </c>
      <c r="C575" t="inlineStr">
        <is>
          <t>driver's</t>
        </is>
      </c>
      <c r="D575">
        <f>HYPERLINK("https://www.youtube.com/watch?v=kG5nUYvmyG0&amp;t=73s", "Go to time")</f>
        <v/>
      </c>
    </row>
    <row r="576">
      <c r="A576">
        <f>HYPERLINK("https://www.youtube.com/watch?v=aydvfej6pZE", "Video")</f>
        <v/>
      </c>
      <c r="B576" t="inlineStr">
        <is>
          <t>0:46</t>
        </is>
      </c>
      <c r="C576" t="inlineStr">
        <is>
          <t>drive over pull up in a spot next to</t>
        </is>
      </c>
      <c r="D576">
        <f>HYPERLINK("https://www.youtube.com/watch?v=aydvfej6pZE&amp;t=46s", "Go to time")</f>
        <v/>
      </c>
    </row>
    <row r="577">
      <c r="A577">
        <f>HYPERLINK("https://www.youtube.com/watch?v=_LlVU-nWTQs", "Video")</f>
        <v/>
      </c>
      <c r="B577" t="inlineStr">
        <is>
          <t>40:28</t>
        </is>
      </c>
      <c r="C577" t="inlineStr">
        <is>
          <t>all right you're too tight to drive I'm</t>
        </is>
      </c>
      <c r="D577">
        <f>HYPERLINK("https://www.youtube.com/watch?v=_LlVU-nWTQs&amp;t=2428s", "Go to time")</f>
        <v/>
      </c>
    </row>
    <row r="578">
      <c r="A578">
        <f>HYPERLINK("https://www.youtube.com/watch?v=wVuVYy35Ae4", "Video")</f>
        <v/>
      </c>
      <c r="B578" t="inlineStr">
        <is>
          <t>2:28</t>
        </is>
      </c>
      <c r="C578" t="inlineStr">
        <is>
          <t>your car drives like a Dick Badger</t>
        </is>
      </c>
      <c r="D578">
        <f>HYPERLINK("https://www.youtube.com/watch?v=wVuVYy35Ae4&amp;t=148s", "Go to time")</f>
        <v/>
      </c>
    </row>
    <row r="579">
      <c r="A579">
        <f>HYPERLINK("https://www.youtube.com/watch?v=wVuVYy35Ae4", "Video")</f>
        <v/>
      </c>
      <c r="B579" t="inlineStr">
        <is>
          <t>2:31</t>
        </is>
      </c>
      <c r="C579" t="inlineStr">
        <is>
          <t>drives my t- bird two 300 Mi away and</t>
        </is>
      </c>
      <c r="D579">
        <f>HYPERLINK("https://www.youtube.com/watch?v=wVuVYy35Ae4&amp;t=151s", "Go to time")</f>
        <v/>
      </c>
    </row>
    <row r="580">
      <c r="A580">
        <f>HYPERLINK("https://www.youtube.com/watch?v=jHJnsHl7mYI", "Video")</f>
        <v/>
      </c>
      <c r="B580" t="inlineStr">
        <is>
          <t>16:55</t>
        </is>
      </c>
      <c r="C580" t="inlineStr">
        <is>
          <t>honest to God it's starting to drive me</t>
        </is>
      </c>
      <c r="D580">
        <f>HYPERLINK("https://www.youtube.com/watch?v=jHJnsHl7mYI&amp;t=1015s", "Go to time")</f>
        <v/>
      </c>
    </row>
    <row r="581">
      <c r="A581">
        <f>HYPERLINK("https://www.youtube.com/watch?v=bsBxDVs8sBA", "Video")</f>
        <v/>
      </c>
      <c r="B581" t="inlineStr">
        <is>
          <t>1:30</t>
        </is>
      </c>
      <c r="C581" t="inlineStr">
        <is>
          <t>and you you had to drive all the way out</t>
        </is>
      </c>
      <c r="D581">
        <f>HYPERLINK("https://www.youtube.com/watch?v=bsBxDVs8sBA&amp;t=90s", "Go to time")</f>
        <v/>
      </c>
    </row>
    <row r="582">
      <c r="A582">
        <f>HYPERLINK("https://www.youtube.com/watch?v=bsBxDVs8sBA", "Video")</f>
        <v/>
      </c>
      <c r="B582" t="inlineStr">
        <is>
          <t>2:03</t>
        </is>
      </c>
      <c r="C582" t="inlineStr">
        <is>
          <t>i'm just a quick drive down by the</t>
        </is>
      </c>
      <c r="D582">
        <f>HYPERLINK("https://www.youtube.com/watch?v=bsBxDVs8sBA&amp;t=123s", "Go to time")</f>
        <v/>
      </c>
    </row>
    <row r="583">
      <c r="A583">
        <f>HYPERLINK("https://www.youtube.com/watch?v=cTCp6IIu6DM", "Video")</f>
        <v/>
      </c>
      <c r="B583" t="inlineStr">
        <is>
          <t>3:47</t>
        </is>
      </c>
      <c r="C583" t="inlineStr">
        <is>
          <t>uh whose driveway you pulled into and we</t>
        </is>
      </c>
      <c r="D583">
        <f>HYPERLINK("https://www.youtube.com/watch?v=cTCp6IIu6DM&amp;t=227s", "Go to time")</f>
        <v/>
      </c>
    </row>
    <row r="584">
      <c r="A584">
        <f>HYPERLINK("https://www.youtube.com/watch?v=QviOLP0Et6w", "Video")</f>
        <v/>
      </c>
      <c r="B584" t="inlineStr">
        <is>
          <t>0:04</t>
        </is>
      </c>
      <c r="C584" t="inlineStr">
        <is>
          <t>street and I zip I just drive right past</t>
        </is>
      </c>
      <c r="D584">
        <f>HYPERLINK("https://www.youtube.com/watch?v=QviOLP0Et6w&amp;t=4s", "Go to time")</f>
        <v/>
      </c>
    </row>
    <row r="585">
      <c r="A585">
        <f>HYPERLINK("https://www.youtube.com/watch?v=5u0MR8Kp3BM", "Video")</f>
        <v/>
      </c>
      <c r="B585" t="inlineStr">
        <is>
          <t>7:50</t>
        </is>
      </c>
      <c r="C585" t="inlineStr">
        <is>
          <t>and drive but if you do call</t>
        </is>
      </c>
      <c r="D585">
        <f>HYPERLINK("https://www.youtube.com/watch?v=5u0MR8Kp3BM&amp;t=470s", "Go to time")</f>
        <v/>
      </c>
    </row>
    <row r="586">
      <c r="A586">
        <f>HYPERLINK("https://www.youtube.com/watch?v=w-cJWWfgi0w", "Video")</f>
        <v/>
      </c>
      <c r="B586" t="inlineStr">
        <is>
          <t>0:34</t>
        </is>
      </c>
      <c r="C586" t="inlineStr">
        <is>
          <t>you they left a driver hogtide not a</t>
        </is>
      </c>
      <c r="D586">
        <f>HYPERLINK("https://www.youtube.com/watch?v=w-cJWWfgi0w&amp;t=34s", "Go to time")</f>
        <v/>
      </c>
    </row>
    <row r="587">
      <c r="A587">
        <f>HYPERLINK("https://www.youtube.com/watch?v=w-cJWWfgi0w", "Video")</f>
        <v/>
      </c>
      <c r="B587" t="inlineStr">
        <is>
          <t>0:42</t>
        </is>
      </c>
      <c r="C587" t="inlineStr">
        <is>
          <t>driver he's still breathing I thought to</t>
        </is>
      </c>
      <c r="D587">
        <f>HYPERLINK("https://www.youtube.com/watch?v=w-cJWWfgi0w&amp;t=42s", "Go to time")</f>
        <v/>
      </c>
    </row>
    <row r="588">
      <c r="A588">
        <f>HYPERLINK("https://www.youtube.com/watch?v=w-cJWWfgi0w", "Video")</f>
        <v/>
      </c>
      <c r="B588" t="inlineStr">
        <is>
          <t>1:16</t>
        </is>
      </c>
      <c r="C588" t="inlineStr">
        <is>
          <t>driver Hector's</t>
        </is>
      </c>
      <c r="D588">
        <f>HYPERLINK("https://www.youtube.com/watch?v=w-cJWWfgi0w&amp;t=76s", "Go to time")</f>
        <v/>
      </c>
    </row>
    <row r="589">
      <c r="A589">
        <f>HYPERLINK("https://www.youtube.com/watch?v=w-cJWWfgi0w", "Video")</f>
        <v/>
      </c>
      <c r="B589" t="inlineStr">
        <is>
          <t>1:26</t>
        </is>
      </c>
      <c r="C589" t="inlineStr">
        <is>
          <t>was in on it right driver had nothing to</t>
        </is>
      </c>
      <c r="D589">
        <f>HYPERLINK("https://www.youtube.com/watch?v=w-cJWWfgi0w&amp;t=86s", "Go to time")</f>
        <v/>
      </c>
    </row>
    <row r="590">
      <c r="A590">
        <f>HYPERLINK("https://www.youtube.com/watch?v=w-cJWWfgi0w", "Video")</f>
        <v/>
      </c>
      <c r="B590" t="inlineStr">
        <is>
          <t>1:47</t>
        </is>
      </c>
      <c r="C590" t="inlineStr">
        <is>
          <t>driver doesn't know anything not a thing</t>
        </is>
      </c>
      <c r="D590">
        <f>HYPERLINK("https://www.youtube.com/watch?v=w-cJWWfgi0w&amp;t=107s", "Go to time")</f>
        <v/>
      </c>
    </row>
    <row r="591">
      <c r="A591">
        <f>HYPERLINK("https://www.youtube.com/watch?v=w-cJWWfgi0w", "Video")</f>
        <v/>
      </c>
      <c r="B591" t="inlineStr">
        <is>
          <t>1:53</t>
        </is>
      </c>
      <c r="C591" t="inlineStr">
        <is>
          <t>he hears the driver say it was some Old</t>
        </is>
      </c>
      <c r="D591">
        <f>HYPERLINK("https://www.youtube.com/watch?v=w-cJWWfgi0w&amp;t=113s", "Go to time")</f>
        <v/>
      </c>
    </row>
    <row r="592">
      <c r="A592">
        <f>HYPERLINK("https://www.youtube.com/watch?v=w-cJWWfgi0w", "Video")</f>
        <v/>
      </c>
      <c r="B592" t="inlineStr">
        <is>
          <t>3:39</t>
        </is>
      </c>
      <c r="C592" t="inlineStr">
        <is>
          <t>God he cut the driver loose the driver</t>
        </is>
      </c>
      <c r="D592">
        <f>HYPERLINK("https://www.youtube.com/watch?v=w-cJWWfgi0w&amp;t=219s", "Go to time")</f>
        <v/>
      </c>
    </row>
    <row r="593">
      <c r="A593">
        <f>HYPERLINK("https://www.youtube.com/watch?v=lyknnOgm3Vw", "Video")</f>
        <v/>
      </c>
      <c r="B593" t="inlineStr">
        <is>
          <t>2:22</t>
        </is>
      </c>
      <c r="C593" t="inlineStr">
        <is>
          <t>going to start and we're going to drive</t>
        </is>
      </c>
      <c r="D593">
        <f>HYPERLINK("https://www.youtube.com/watch?v=lyknnOgm3Vw&amp;t=142s", "Go to time")</f>
        <v/>
      </c>
    </row>
    <row r="594">
      <c r="A594">
        <f>HYPERLINK("https://www.youtube.com/watch?v=lyknnOgm3Vw", "Video")</f>
        <v/>
      </c>
      <c r="B594" t="inlineStr">
        <is>
          <t>2:26</t>
        </is>
      </c>
      <c r="C594" t="inlineStr">
        <is>
          <t>house we're gonna drive it over there</t>
        </is>
      </c>
      <c r="D594">
        <f>HYPERLINK("https://www.youtube.com/watch?v=lyknnOgm3Vw&amp;t=146s", "Go to time")</f>
        <v/>
      </c>
    </row>
    <row r="595">
      <c r="A595">
        <f>HYPERLINK("https://www.youtube.com/watch?v=rdnbg51eiM0", "Video")</f>
        <v/>
      </c>
      <c r="B595" t="inlineStr">
        <is>
          <t>0:59</t>
        </is>
      </c>
      <c r="C595" t="inlineStr">
        <is>
          <t>i'll drive</t>
        </is>
      </c>
      <c r="D595">
        <f>HYPERLINK("https://www.youtube.com/watch?v=rdnbg51eiM0&amp;t=59s", "Go to time")</f>
        <v/>
      </c>
    </row>
    <row r="596">
      <c r="A596">
        <f>HYPERLINK("https://www.youtube.com/watch?v=7ngnhofSV9M", "Video")</f>
        <v/>
      </c>
      <c r="B596" t="inlineStr">
        <is>
          <t>2:56</t>
        </is>
      </c>
      <c r="C596" t="inlineStr">
        <is>
          <t>no so much Drive Jimmy</t>
        </is>
      </c>
      <c r="D596">
        <f>HYPERLINK("https://www.youtube.com/watch?v=7ngnhofSV9M&amp;t=176s", "Go to time")</f>
        <v/>
      </c>
    </row>
    <row r="597">
      <c r="A597">
        <f>HYPERLINK("https://www.youtube.com/watch?v=aeDdVJ4dqVA", "Video")</f>
        <v/>
      </c>
      <c r="B597" t="inlineStr">
        <is>
          <t>1:05</t>
        </is>
      </c>
      <c r="C597" t="inlineStr">
        <is>
          <t>Abita she drives a car that's a whole</t>
        </is>
      </c>
      <c r="D597">
        <f>HYPERLINK("https://www.youtube.com/watch?v=aeDdVJ4dqVA&amp;t=65s", "Go to time")</f>
        <v/>
      </c>
    </row>
    <row r="598">
      <c r="A598">
        <f>HYPERLINK("https://www.youtube.com/watch?v=X6hO5qOBDx8", "Video")</f>
        <v/>
      </c>
      <c r="B598" t="inlineStr">
        <is>
          <t>14:23</t>
        </is>
      </c>
      <c r="C598" t="inlineStr">
        <is>
          <t>just go out did you see us drive in here</t>
        </is>
      </c>
      <c r="D598">
        <f>HYPERLINK("https://www.youtube.com/watch?v=X6hO5qOBDx8&amp;t=863s", "Go to time")</f>
        <v/>
      </c>
    </row>
    <row r="599">
      <c r="A599">
        <f>HYPERLINK("https://www.youtube.com/watch?v=3GoKdqZMHI0", "Video")</f>
        <v/>
      </c>
      <c r="B599" t="inlineStr">
        <is>
          <t>1:55</t>
        </is>
      </c>
      <c r="C599" t="inlineStr">
        <is>
          <t>of any kind what a screwdriver and a</t>
        </is>
      </c>
      <c r="D599">
        <f>HYPERLINK("https://www.youtube.com/watch?v=3GoKdqZMHI0&amp;t=115s", "Go to time")</f>
        <v/>
      </c>
    </row>
    <row r="600">
      <c r="A600">
        <f>HYPERLINK("https://www.youtube.com/watch?v=7ZIC4U6guag", "Video")</f>
        <v/>
      </c>
      <c r="B600" t="inlineStr">
        <is>
          <t>0:01</t>
        </is>
      </c>
      <c r="C600" t="inlineStr">
        <is>
          <t>honest to God it's starting to drive me</t>
        </is>
      </c>
      <c r="D600">
        <f>HYPERLINK("https://www.youtube.com/watch?v=7ZIC4U6guag&amp;t=1s", "Go to time")</f>
        <v/>
      </c>
    </row>
    <row r="601">
      <c r="A601">
        <f>HYPERLINK("https://www.youtube.com/watch?v=GIsMm4sA6eY", "Video")</f>
        <v/>
      </c>
      <c r="B601" t="inlineStr">
        <is>
          <t>0:09</t>
        </is>
      </c>
      <c r="C601" t="inlineStr">
        <is>
          <t>just go out did you see this drive in</t>
        </is>
      </c>
      <c r="D601">
        <f>HYPERLINK("https://www.youtube.com/watch?v=GIsMm4sA6eY&amp;t=9s", "Go to time")</f>
        <v/>
      </c>
    </row>
    <row r="602">
      <c r="A602">
        <f>HYPERLINK("https://www.youtube.com/watch?v=9CmYiY1OJ6o", "Video")</f>
        <v/>
      </c>
      <c r="B602" t="inlineStr">
        <is>
          <t>4:27</t>
        </is>
      </c>
      <c r="C602" t="inlineStr">
        <is>
          <t>car did you drive it here</t>
        </is>
      </c>
      <c r="D602">
        <f>HYPERLINK("https://www.youtube.com/watch?v=9CmYiY1OJ6o&amp;t=267s", "Go to time")</f>
        <v/>
      </c>
    </row>
    <row r="603">
      <c r="A603">
        <f>HYPERLINK("https://www.youtube.com/watch?v=9CmYiY1OJ6o", "Video")</f>
        <v/>
      </c>
      <c r="B603" t="inlineStr">
        <is>
          <t>4:45</t>
        </is>
      </c>
      <c r="C603" t="inlineStr">
        <is>
          <t>do it it drives</t>
        </is>
      </c>
      <c r="D603">
        <f>HYPERLINK("https://www.youtube.com/watch?v=9CmYiY1OJ6o&amp;t=285s", "Go to time")</f>
        <v/>
      </c>
    </row>
    <row r="604">
      <c r="A604">
        <f>HYPERLINK("https://www.youtube.com/watch?v=Vgqz8kB1Pxg", "Video")</f>
        <v/>
      </c>
      <c r="B604" t="inlineStr">
        <is>
          <t>13:27</t>
        </is>
      </c>
      <c r="C604" t="inlineStr">
        <is>
          <t>no so so much Drive Jimmy look what</t>
        </is>
      </c>
      <c r="D604">
        <f>HYPERLINK("https://www.youtube.com/watch?v=Vgqz8kB1Pxg&amp;t=807s", "Go to time")</f>
        <v/>
      </c>
    </row>
    <row r="605">
      <c r="A605">
        <f>HYPERLINK("https://www.youtube.com/watch?v=7BE4QcwX4dU", "Video")</f>
        <v/>
      </c>
      <c r="B605" t="inlineStr">
        <is>
          <t>1:03</t>
        </is>
      </c>
      <c r="C605" t="inlineStr">
        <is>
          <t>the EMTs put him in a car drive him</t>
        </is>
      </c>
      <c r="D605">
        <f>HYPERLINK("https://www.youtube.com/watch?v=7BE4QcwX4dU&amp;t=63s", "Go to time")</f>
        <v/>
      </c>
    </row>
    <row r="606">
      <c r="A606">
        <f>HYPERLINK("https://www.youtube.com/watch?v=rdQcqdEAOcc", "Video")</f>
        <v/>
      </c>
      <c r="B606" t="inlineStr">
        <is>
          <t>15:15</t>
        </is>
      </c>
      <c r="C606" t="inlineStr">
        <is>
          <t>business we have a long drive ahead of</t>
        </is>
      </c>
      <c r="D606">
        <f>HYPERLINK("https://www.youtube.com/watch?v=rdQcqdEAOcc&amp;t=915s", "Go to time")</f>
        <v/>
      </c>
    </row>
    <row r="607">
      <c r="A607">
        <f>HYPERLINK("https://www.youtube.com/watch?v=wIvddp-ASLc", "Video")</f>
        <v/>
      </c>
      <c r="B607" t="inlineStr">
        <is>
          <t>0:09</t>
        </is>
      </c>
      <c r="C607" t="inlineStr">
        <is>
          <t>drive you let's call it to my ex-wife's</t>
        </is>
      </c>
      <c r="D607">
        <f>HYPERLINK("https://www.youtube.com/watch?v=wIvddp-ASLc&amp;t=9s", "Go to time")</f>
        <v/>
      </c>
    </row>
    <row r="608">
      <c r="A608">
        <f>HYPERLINK("https://www.youtube.com/watch?v=Wc8qthwKSsc", "Video")</f>
        <v/>
      </c>
      <c r="B608" t="inlineStr">
        <is>
          <t>40:34</t>
        </is>
      </c>
      <c r="C608" t="inlineStr">
        <is>
          <t>tight to drive I'm calling you oh good</t>
        </is>
      </c>
      <c r="D608">
        <f>HYPERLINK("https://www.youtube.com/watch?v=Wc8qthwKSsc&amp;t=2434s", "Go to time")</f>
        <v/>
      </c>
    </row>
    <row r="609">
      <c r="A609">
        <f>HYPERLINK("https://www.youtube.com/watch?v=lfA8Yiqghpo", "Video")</f>
        <v/>
      </c>
      <c r="B609" t="inlineStr">
        <is>
          <t>6:02</t>
        </is>
      </c>
      <c r="C609" t="inlineStr">
        <is>
          <t>business we have a long drive ahead of</t>
        </is>
      </c>
      <c r="D609">
        <f>HYPERLINK("https://www.youtube.com/watch?v=lfA8Yiqghpo&amp;t=362s", "Go to time")</f>
        <v/>
      </c>
    </row>
    <row r="610">
      <c r="A610">
        <f>HYPERLINK("https://www.youtube.com/watch?v=lfA8Yiqghpo", "Video")</f>
        <v/>
      </c>
      <c r="B610" t="inlineStr">
        <is>
          <t>21:10</t>
        </is>
      </c>
      <c r="C610" t="inlineStr">
        <is>
          <t>right you're too tight to drive I'm</t>
        </is>
      </c>
      <c r="D610">
        <f>HYPERLINK("https://www.youtube.com/watch?v=lfA8Yiqghpo&amp;t=1270s", "Go to time")</f>
        <v/>
      </c>
    </row>
    <row r="611">
      <c r="A611">
        <f>HYPERLINK("https://www.youtube.com/watch?v=CIZaOMs55to", "Video")</f>
        <v/>
      </c>
      <c r="B611" t="inlineStr">
        <is>
          <t>4:34</t>
        </is>
      </c>
      <c r="C611" t="inlineStr">
        <is>
          <t>fingers crossed don't yank the drive</t>
        </is>
      </c>
      <c r="D611">
        <f>HYPERLINK("https://www.youtube.com/watch?v=CIZaOMs55to&amp;t=274s", "Go to time")</f>
        <v/>
      </c>
    </row>
    <row r="612">
      <c r="A612">
        <f>HYPERLINK("https://www.youtube.com/watch?v=CIZaOMs55to", "Video")</f>
        <v/>
      </c>
      <c r="B612" t="inlineStr">
        <is>
          <t>6:49</t>
        </is>
      </c>
      <c r="C612" t="inlineStr">
        <is>
          <t>just go out did you see this drive in</t>
        </is>
      </c>
      <c r="D612">
        <f>HYPERLINK("https://www.youtube.com/watch?v=CIZaOMs55to&amp;t=409s", "Go to time")</f>
        <v/>
      </c>
    </row>
    <row r="613">
      <c r="A613">
        <f>HYPERLINK("https://www.youtube.com/watch?v=09aRHcSmRzE", "Video")</f>
        <v/>
      </c>
      <c r="B613" t="inlineStr">
        <is>
          <t>1:40</t>
        </is>
      </c>
      <c r="C613" t="inlineStr">
        <is>
          <t>of elderly drivers after 75 they need to</t>
        </is>
      </c>
      <c r="D613">
        <f>HYPERLINK("https://www.youtube.com/watch?v=09aRHcSmRzE&amp;t=100s", "Go to time")</f>
        <v/>
      </c>
    </row>
    <row r="614">
      <c r="A614">
        <f>HYPERLINK("https://www.youtube.com/watch?v=09aRHcSmRzE", "Video")</f>
        <v/>
      </c>
      <c r="B614" t="inlineStr">
        <is>
          <t>2:26</t>
        </is>
      </c>
      <c r="C614" t="inlineStr">
        <is>
          <t>driver's licenses we did see hundreds of</t>
        </is>
      </c>
      <c r="D614">
        <f>HYPERLINK("https://www.youtube.com/watch?v=09aRHcSmRzE&amp;t=146s", "Go to time")</f>
        <v/>
      </c>
    </row>
    <row r="615">
      <c r="A615">
        <f>HYPERLINK("https://www.youtube.com/watch?v=IaoeHb4duls", "Video")</f>
        <v/>
      </c>
      <c r="B615" t="inlineStr">
        <is>
          <t>3:04</t>
        </is>
      </c>
      <c r="C615" t="inlineStr">
        <is>
          <t>drive it off a cliff</t>
        </is>
      </c>
      <c r="D615">
        <f>HYPERLINK("https://www.youtube.com/watch?v=IaoeHb4duls&amp;t=184s", "Go to time")</f>
        <v/>
      </c>
    </row>
    <row r="616">
      <c r="A616">
        <f>HYPERLINK("https://www.youtube.com/watch?v=IaoeHb4duls", "Video")</f>
        <v/>
      </c>
      <c r="B616" t="inlineStr">
        <is>
          <t>4:51</t>
        </is>
      </c>
      <c r="C616" t="inlineStr">
        <is>
          <t>drams and drives</t>
        </is>
      </c>
      <c r="D616">
        <f>HYPERLINK("https://www.youtube.com/watch?v=IaoeHb4duls&amp;t=291s", "Go to time")</f>
        <v/>
      </c>
    </row>
    <row r="617">
      <c r="A617">
        <f>HYPERLINK("https://www.youtube.com/watch?v=TND2oDcbpTc", "Video")</f>
        <v/>
      </c>
      <c r="B617" t="inlineStr">
        <is>
          <t>4:51</t>
        </is>
      </c>
      <c r="C617" t="inlineStr">
        <is>
          <t>drive</t>
        </is>
      </c>
      <c r="D617">
        <f>HYPERLINK("https://www.youtube.com/watch?v=TND2oDcbpTc&amp;t=291s", "Go to time")</f>
        <v/>
      </c>
    </row>
    <row r="618">
      <c r="A618">
        <f>HYPERLINK("https://www.youtube.com/watch?v=bnzyjWEyQc8", "Video")</f>
        <v/>
      </c>
      <c r="B618" t="inlineStr">
        <is>
          <t>0:09</t>
        </is>
      </c>
      <c r="C618" t="inlineStr">
        <is>
          <t>us drive you let's hold it to my</t>
        </is>
      </c>
      <c r="D618">
        <f>HYPERLINK("https://www.youtube.com/watch?v=bnzyjWEyQc8&amp;t=9s", "Go to time")</f>
        <v/>
      </c>
    </row>
    <row r="619">
      <c r="A619">
        <f>HYPERLINK("https://www.youtube.com/watch?v=bnzyjWEyQc8", "Video")</f>
        <v/>
      </c>
      <c r="B619" t="inlineStr">
        <is>
          <t>6:31</t>
        </is>
      </c>
      <c r="C619" t="inlineStr">
        <is>
          <t>you drive a silver Miata</t>
        </is>
      </c>
      <c r="D619">
        <f>HYPERLINK("https://www.youtube.com/watch?v=bnzyjWEyQc8&amp;t=391s", "Go to time")</f>
        <v/>
      </c>
    </row>
    <row r="620">
      <c r="A620">
        <f>HYPERLINK("https://www.youtube.com/watch?v=bnzyjWEyQc8", "Video")</f>
        <v/>
      </c>
      <c r="B620" t="inlineStr">
        <is>
          <t>43:01</t>
        </is>
      </c>
      <c r="C620" t="inlineStr">
        <is>
          <t>driveway that yours yeah that's mine uh</t>
        </is>
      </c>
      <c r="D620">
        <f>HYPERLINK("https://www.youtube.com/watch?v=bnzyjWEyQc8&amp;t=2581s", "Go to time")</f>
        <v/>
      </c>
    </row>
    <row r="621">
      <c r="A621">
        <f>HYPERLINK("https://www.youtube.com/watch?v=bnzyjWEyQc8", "Video")</f>
        <v/>
      </c>
      <c r="B621" t="inlineStr">
        <is>
          <t>47:36</t>
        </is>
      </c>
      <c r="C621" t="inlineStr">
        <is>
          <t>of any kind what a screwdriver and a</t>
        </is>
      </c>
      <c r="D621">
        <f>HYPERLINK("https://www.youtube.com/watch?v=bnzyjWEyQc8&amp;t=2856s", "Go to time")</f>
        <v/>
      </c>
    </row>
    <row r="622">
      <c r="A622">
        <f>HYPERLINK("https://www.youtube.com/watch?v=w8glgHJtWBI", "Video")</f>
        <v/>
      </c>
      <c r="B622" t="inlineStr">
        <is>
          <t>4:03</t>
        </is>
      </c>
      <c r="C622" t="inlineStr">
        <is>
          <t>behind the wheel good she's good driver</t>
        </is>
      </c>
      <c r="D622">
        <f>HYPERLINK("https://www.youtube.com/watch?v=w8glgHJtWBI&amp;t=243s", "Go to time")</f>
        <v/>
      </c>
    </row>
    <row r="623">
      <c r="A623">
        <f>HYPERLINK("https://www.youtube.com/watch?v=w8glgHJtWBI", "Video")</f>
        <v/>
      </c>
      <c r="B623" t="inlineStr">
        <is>
          <t>4:25</t>
        </is>
      </c>
      <c r="C623" t="inlineStr">
        <is>
          <t>her drive you to the</t>
        </is>
      </c>
      <c r="D623">
        <f>HYPERLINK("https://www.youtube.com/watch?v=w8glgHJtWBI&amp;t=265s", "Go to time")</f>
        <v/>
      </c>
    </row>
    <row r="624">
      <c r="A624">
        <f>HYPERLINK("https://www.youtube.com/watch?v=XHImphmiPxI", "Video")</f>
        <v/>
      </c>
      <c r="B624" t="inlineStr">
        <is>
          <t>6:40</t>
        </is>
      </c>
      <c r="C624" t="inlineStr">
        <is>
          <t>ricky he's a driver hey i've got an idea</t>
        </is>
      </c>
      <c r="D624">
        <f>HYPERLINK("https://www.youtube.com/watch?v=XHImphmiPxI&amp;t=400s", "Go to time")</f>
        <v/>
      </c>
    </row>
    <row r="625">
      <c r="A625">
        <f>HYPERLINK("https://www.youtube.com/watch?v=XHImphmiPxI", "Video")</f>
        <v/>
      </c>
      <c r="B625" t="inlineStr">
        <is>
          <t>6:43</t>
        </is>
      </c>
      <c r="C625" t="inlineStr">
        <is>
          <t>um i've got an extra truck i could drive</t>
        </is>
      </c>
      <c r="D625">
        <f>HYPERLINK("https://www.youtube.com/watch?v=XHImphmiPxI&amp;t=403s", "Go to time")</f>
        <v/>
      </c>
    </row>
    <row r="626">
      <c r="A626">
        <f>HYPERLINK("https://www.youtube.com/watch?v=dLaSzxRpqXE", "Video")</f>
        <v/>
      </c>
      <c r="B626" t="inlineStr">
        <is>
          <t>32:51</t>
        </is>
      </c>
      <c r="C626" t="inlineStr">
        <is>
          <t>drive shaft through the floor</t>
        </is>
      </c>
      <c r="D626">
        <f>HYPERLINK("https://www.youtube.com/watch?v=dLaSzxRpqXE&amp;t=1971s", "Go to time")</f>
        <v/>
      </c>
    </row>
    <row r="627">
      <c r="A627">
        <f>HYPERLINK("https://www.youtube.com/watch?v=H-oNnWl-opE", "Video")</f>
        <v/>
      </c>
      <c r="B627" t="inlineStr">
        <is>
          <t>0:01</t>
        </is>
      </c>
      <c r="C627" t="inlineStr">
        <is>
          <t>you you know they have a drive-thru</t>
        </is>
      </c>
      <c r="D627">
        <f>HYPERLINK("https://www.youtube.com/watch?v=H-oNnWl-opE&amp;t=1s", "Go to time")</f>
        <v/>
      </c>
    </row>
    <row r="628">
      <c r="A628">
        <f>HYPERLINK("https://www.youtube.com/watch?v=H-oNnWl-opE", "Video")</f>
        <v/>
      </c>
      <c r="B628" t="inlineStr">
        <is>
          <t>0:59</t>
        </is>
      </c>
      <c r="C628" t="inlineStr">
        <is>
          <t>give him my left nut to drive a car like</t>
        </is>
      </c>
      <c r="D628">
        <f>HYPERLINK("https://www.youtube.com/watch?v=H-oNnWl-opE&amp;t=59s", "Go to time")</f>
        <v/>
      </c>
    </row>
    <row r="629">
      <c r="A629">
        <f>HYPERLINK("https://www.youtube.com/watch?v=bj2GHAWnj0A", "Video")</f>
        <v/>
      </c>
      <c r="B629" t="inlineStr">
        <is>
          <t>1:39</t>
        </is>
      </c>
      <c r="C629" t="inlineStr">
        <is>
          <t>and drive but if you do call</t>
        </is>
      </c>
      <c r="D629">
        <f>HYPERLINK("https://www.youtube.com/watch?v=bj2GHAWnj0A&amp;t=99s", "Go to time")</f>
        <v/>
      </c>
    </row>
    <row r="630">
      <c r="A630">
        <f>HYPERLINK("https://www.youtube.com/watch?v=GY5IpwIcZTo", "Video")</f>
        <v/>
      </c>
      <c r="B630" t="inlineStr">
        <is>
          <t>4:10</t>
        </is>
      </c>
      <c r="C630" t="inlineStr">
        <is>
          <t>driver licensed Dependable she has a</t>
        </is>
      </c>
      <c r="D630">
        <f>HYPERLINK("https://www.youtube.com/watch?v=GY5IpwIcZTo&amp;t=250s", "Go to time")</f>
        <v/>
      </c>
    </row>
    <row r="631">
      <c r="A631">
        <f>HYPERLINK("https://www.youtube.com/watch?v=GY5IpwIcZTo", "Video")</f>
        <v/>
      </c>
      <c r="B631" t="inlineStr">
        <is>
          <t>4:29</t>
        </is>
      </c>
      <c r="C631" t="inlineStr">
        <is>
          <t>her drive you to the</t>
        </is>
      </c>
      <c r="D631">
        <f>HYPERLINK("https://www.youtube.com/watch?v=GY5IpwIcZTo&amp;t=269s", "Go to time")</f>
        <v/>
      </c>
    </row>
    <row r="632">
      <c r="A632">
        <f>HYPERLINK("https://www.youtube.com/watch?v=GY5IpwIcZTo", "Video")</f>
        <v/>
      </c>
      <c r="B632" t="inlineStr">
        <is>
          <t>17:34</t>
        </is>
      </c>
      <c r="C632" t="inlineStr">
        <is>
          <t>business we have a long drive ahead of</t>
        </is>
      </c>
      <c r="D632">
        <f>HYPERLINK("https://www.youtube.com/watch?v=GY5IpwIcZTo&amp;t=1054s", "Go to time")</f>
        <v/>
      </c>
    </row>
    <row r="633">
      <c r="A633">
        <f>HYPERLINK("https://www.youtube.com/watch?v=YNTj9P9Kkr8", "Video")</f>
        <v/>
      </c>
      <c r="B633" t="inlineStr">
        <is>
          <t>0:43</t>
        </is>
      </c>
      <c r="C633" t="inlineStr">
        <is>
          <t>there I me the guy drives a 10-year-old</t>
        </is>
      </c>
      <c r="D633">
        <f>HYPERLINK("https://www.youtube.com/watch?v=YNTj9P9Kkr8&amp;t=43s", "Go to time")</f>
        <v/>
      </c>
    </row>
    <row r="634">
      <c r="A634">
        <f>HYPERLINK("https://www.youtube.com/watch?v=oRpc6gQ-KjI", "Video")</f>
        <v/>
      </c>
      <c r="B634" t="inlineStr">
        <is>
          <t>5:26</t>
        </is>
      </c>
      <c r="C634" t="inlineStr">
        <is>
          <t>license driver's license do it</t>
        </is>
      </c>
      <c r="D634">
        <f>HYPERLINK("https://www.youtube.com/watch?v=oRpc6gQ-KjI&amp;t=326s", "Go to time")</f>
        <v/>
      </c>
    </row>
    <row r="635">
      <c r="A635">
        <f>HYPERLINK("https://www.youtube.com/watch?v=XmwfRvziH3w", "Video")</f>
        <v/>
      </c>
      <c r="B635" t="inlineStr">
        <is>
          <t>2:19</t>
        </is>
      </c>
      <c r="C635" t="inlineStr">
        <is>
          <t>driveway the old lady was berading her</t>
        </is>
      </c>
      <c r="D635">
        <f>HYPERLINK("https://www.youtube.com/watch?v=XmwfRvziH3w&amp;t=139s", "Go to time")</f>
        <v/>
      </c>
    </row>
    <row r="636">
      <c r="A636">
        <f>HYPERLINK("https://www.youtube.com/watch?v=gFt1ScZCnCk", "Video")</f>
        <v/>
      </c>
      <c r="B636" t="inlineStr">
        <is>
          <t>1:42</t>
        </is>
      </c>
      <c r="C636" t="inlineStr">
        <is>
          <t>a drive-through awning to allow strike</t>
        </is>
      </c>
      <c r="D636">
        <f>HYPERLINK("https://www.youtube.com/watch?v=gFt1ScZCnCk&amp;t=102s", "Go to time")</f>
        <v/>
      </c>
    </row>
    <row r="637">
      <c r="A637">
        <f>HYPERLINK("https://www.youtube.com/watch?v=X76OE_9SF7U", "Video")</f>
        <v/>
      </c>
      <c r="B637" t="inlineStr">
        <is>
          <t>16:24</t>
        </is>
      </c>
      <c r="C637" t="inlineStr">
        <is>
          <t>and drive but if you do call</t>
        </is>
      </c>
      <c r="D637">
        <f>HYPERLINK("https://www.youtube.com/watch?v=X76OE_9SF7U&amp;t=984s", "Go to time")</f>
        <v/>
      </c>
    </row>
    <row r="638">
      <c r="A638">
        <f>HYPERLINK("https://www.youtube.com/watch?v=N723si1wAG8", "Video")</f>
        <v/>
      </c>
      <c r="B638" t="inlineStr">
        <is>
          <t>0:46</t>
        </is>
      </c>
      <c r="C638" t="inlineStr">
        <is>
          <t>business we have a long drive ahead of</t>
        </is>
      </c>
      <c r="D638">
        <f>HYPERLINK("https://www.youtube.com/watch?v=N723si1wAG8&amp;t=46s", "Go to time")</f>
        <v/>
      </c>
    </row>
    <row r="639">
      <c r="A639">
        <f>HYPERLINK("https://www.youtube.com/watch?v=wRePmzcusJo", "Video")</f>
        <v/>
      </c>
      <c r="B639" t="inlineStr">
        <is>
          <t>19:48</t>
        </is>
      </c>
      <c r="C639" t="inlineStr">
        <is>
          <t>drive</t>
        </is>
      </c>
      <c r="D639">
        <f>HYPERLINK("https://www.youtube.com/watch?v=wRePmzcusJo&amp;t=1188s", "Go to time")</f>
        <v/>
      </c>
    </row>
    <row r="640">
      <c r="A640">
        <f>HYPERLINK("https://www.youtube.com/watch?v=TPpxV8na2yo", "Video")</f>
        <v/>
      </c>
      <c r="B640" t="inlineStr">
        <is>
          <t>9:31</t>
        </is>
      </c>
      <c r="C640" t="inlineStr">
        <is>
          <t>drives a car that's a whole lot like a</t>
        </is>
      </c>
      <c r="D640">
        <f>HYPERLINK("https://www.youtube.com/watch?v=TPpxV8na2yo&amp;t=571s", "Go to time")</f>
        <v/>
      </c>
    </row>
    <row r="641">
      <c r="A641">
        <f>HYPERLINK("https://www.youtube.com/watch?v=Ee0AyXuifWM", "Video")</f>
        <v/>
      </c>
      <c r="B641" t="inlineStr">
        <is>
          <t>1:53</t>
        </is>
      </c>
      <c r="C641" t="inlineStr">
        <is>
          <t>drive</t>
        </is>
      </c>
      <c r="D641">
        <f>HYPERLINK("https://www.youtube.com/watch?v=Ee0AyXuifWM&amp;t=113s", "Go to time")</f>
        <v/>
      </c>
    </row>
    <row r="642">
      <c r="A642">
        <f>HYPERLINK("https://www.youtube.com/watch?v=W-PBGDqXlaw", "Video")</f>
        <v/>
      </c>
      <c r="B642" t="inlineStr">
        <is>
          <t>0:34</t>
        </is>
      </c>
      <c r="C642" t="inlineStr">
        <is>
          <t>what you two drive around like mr softy</t>
        </is>
      </c>
      <c r="D642">
        <f>HYPERLINK("https://www.youtube.com/watch?v=W-PBGDqXlaw&amp;t=34s", "Go to time")</f>
        <v/>
      </c>
    </row>
    <row r="643">
      <c r="A643">
        <f>HYPERLINK("https://www.youtube.com/watch?v=W-PBGDqXlaw", "Video")</f>
        <v/>
      </c>
      <c r="B643" t="inlineStr">
        <is>
          <t>2:25</t>
        </is>
      </c>
      <c r="C643" t="inlineStr">
        <is>
          <t>i will drive</t>
        </is>
      </c>
      <c r="D643">
        <f>HYPERLINK("https://www.youtube.com/watch?v=W-PBGDqXlaw&amp;t=145s", "Go to time")</f>
        <v/>
      </c>
    </row>
    <row r="644">
      <c r="A644">
        <f>HYPERLINK("https://www.youtube.com/watch?v=W-PBGDqXlaw", "Video")</f>
        <v/>
      </c>
      <c r="B644" t="inlineStr">
        <is>
          <t>3:05</t>
        </is>
      </c>
      <c r="C644" t="inlineStr">
        <is>
          <t>ah instead of just let me drive yo look</t>
        </is>
      </c>
      <c r="D644">
        <f>HYPERLINK("https://www.youtube.com/watch?v=W-PBGDqXlaw&amp;t=185s", "Go to time")</f>
        <v/>
      </c>
    </row>
    <row r="645">
      <c r="A645">
        <f>HYPERLINK("https://www.youtube.com/watch?v=gSANa2J_Jhw", "Video")</f>
        <v/>
      </c>
      <c r="B645" t="inlineStr">
        <is>
          <t>2:43</t>
        </is>
      </c>
      <c r="C645" t="inlineStr">
        <is>
          <t>all right you're too tight to drive I'm</t>
        </is>
      </c>
      <c r="D645">
        <f>HYPERLINK("https://www.youtube.com/watch?v=gSANa2J_Jhw&amp;t=163s", "Go to time")</f>
        <v/>
      </c>
    </row>
    <row r="646">
      <c r="A646">
        <f>HYPERLINK("https://www.youtube.com/watch?v=fnNCDogOCkc", "Video")</f>
        <v/>
      </c>
      <c r="B646" t="inlineStr">
        <is>
          <t>1:50</t>
        </is>
      </c>
      <c r="C646" t="inlineStr">
        <is>
          <t>drive 60 instead of 55. jimmy</t>
        </is>
      </c>
      <c r="D646">
        <f>HYPERLINK("https://www.youtube.com/watch?v=fnNCDogOCkc&amp;t=110s", "Go to time")</f>
        <v/>
      </c>
    </row>
    <row r="647">
      <c r="A647">
        <f>HYPERLINK("https://www.youtube.com/watch?v=CZSWDdmxmus", "Video")</f>
        <v/>
      </c>
      <c r="B647" t="inlineStr">
        <is>
          <t>7:59</t>
        </is>
      </c>
      <c r="C647" t="inlineStr">
        <is>
          <t>damaged this car is unsafe to drive in</t>
        </is>
      </c>
      <c r="D647">
        <f>HYPERLINK("https://www.youtube.com/watch?v=CZSWDdmxmus&amp;t=479s", "Go to time")</f>
        <v/>
      </c>
    </row>
    <row r="648">
      <c r="A648">
        <f>HYPERLINK("https://www.youtube.com/watch?v=U-w5B5Gutf4", "Video")</f>
        <v/>
      </c>
      <c r="B648" t="inlineStr">
        <is>
          <t>3:09</t>
        </is>
      </c>
      <c r="C648" t="inlineStr">
        <is>
          <t>damaged this car is unsafe to drive in</t>
        </is>
      </c>
      <c r="D648">
        <f>HYPERLINK("https://www.youtube.com/watch?v=U-w5B5Gutf4&amp;t=189s", "Go to time")</f>
        <v/>
      </c>
    </row>
    <row r="649">
      <c r="A649">
        <f>HYPERLINK("https://www.youtube.com/watch?v=QI0-d3cCaj4", "Video")</f>
        <v/>
      </c>
      <c r="B649" t="inlineStr">
        <is>
          <t>1:34</t>
        </is>
      </c>
      <c r="C649" t="inlineStr">
        <is>
          <t>Howard you drive a silver Miata</t>
        </is>
      </c>
      <c r="D649">
        <f>HYPERLINK("https://www.youtube.com/watch?v=QI0-d3cCaj4&amp;t=94s", "Go to time")</f>
        <v/>
      </c>
    </row>
    <row r="650">
      <c r="A650">
        <f>HYPERLINK("https://www.youtube.com/watch?v=dDfGg7LBZRc", "Video")</f>
        <v/>
      </c>
      <c r="B650" t="inlineStr">
        <is>
          <t>9:12</t>
        </is>
      </c>
      <c r="C650" t="inlineStr">
        <is>
          <t>drive 60 instead of 55. jimmy what</t>
        </is>
      </c>
      <c r="D650">
        <f>HYPERLINK("https://www.youtube.com/watch?v=dDfGg7LBZRc&amp;t=552s", "Go to time")</f>
        <v/>
      </c>
    </row>
    <row r="651">
      <c r="A651">
        <f>HYPERLINK("https://www.youtube.com/watch?v=6ErBOaY1yX4", "Video")</f>
        <v/>
      </c>
      <c r="B651" t="inlineStr">
        <is>
          <t>18:59</t>
        </is>
      </c>
      <c r="C651" t="inlineStr">
        <is>
          <t>wheel of disabled very much the driver</t>
        </is>
      </c>
      <c r="D651">
        <f>HYPERLINK("https://www.youtube.com/watch?v=6ErBOaY1yX4&amp;t=1139s", "Go to time")</f>
        <v/>
      </c>
    </row>
    <row r="652">
      <c r="A652">
        <f>HYPERLINK("https://www.youtube.com/watch?v=6ErBOaY1yX4", "Video")</f>
        <v/>
      </c>
      <c r="B652" t="inlineStr">
        <is>
          <t>19:19</t>
        </is>
      </c>
      <c r="C652" t="inlineStr">
        <is>
          <t>while he drives</t>
        </is>
      </c>
      <c r="D652">
        <f>HYPERLINK("https://www.youtube.com/watch?v=6ErBOaY1yX4&amp;t=1159s", "Go to time")</f>
        <v/>
      </c>
    </row>
    <row r="653">
      <c r="A653">
        <f>HYPERLINK("https://www.youtube.com/watch?v=6ErBOaY1yX4", "Video")</f>
        <v/>
      </c>
      <c r="B653" t="inlineStr">
        <is>
          <t>20:07</t>
        </is>
      </c>
      <c r="C653" t="inlineStr">
        <is>
          <t>driver's door swings open and jimmy</t>
        </is>
      </c>
      <c r="D653">
        <f>HYPERLINK("https://www.youtube.com/watch?v=6ErBOaY1yX4&amp;t=1207s", "Go to time")</f>
        <v/>
      </c>
    </row>
    <row r="654">
      <c r="A654">
        <f>HYPERLINK("https://www.youtube.com/watch?v=6ErBOaY1yX4", "Video")</f>
        <v/>
      </c>
      <c r="B654" t="inlineStr">
        <is>
          <t>31:59</t>
        </is>
      </c>
      <c r="C654" t="inlineStr">
        <is>
          <t>jimmy's esteem turns a corner he drives</t>
        </is>
      </c>
      <c r="D654">
        <f>HYPERLINK("https://www.youtube.com/watch?v=6ErBOaY1yX4&amp;t=1919s", "Go to time")</f>
        <v/>
      </c>
    </row>
    <row r="655">
      <c r="A655">
        <f>HYPERLINK("https://www.youtube.com/watch?v=6ErBOaY1yX4", "Video")</f>
        <v/>
      </c>
      <c r="B655" t="inlineStr">
        <is>
          <t>32:04</t>
        </is>
      </c>
      <c r="C655" t="inlineStr">
        <is>
          <t>and pulls into the driveway of the only</t>
        </is>
      </c>
      <c r="D655">
        <f>HYPERLINK("https://www.youtube.com/watch?v=6ErBOaY1yX4&amp;t=1924s", "Go to time")</f>
        <v/>
      </c>
    </row>
    <row r="656">
      <c r="A656">
        <f>HYPERLINK("https://www.youtube.com/watch?v=6ErBOaY1yX4", "Video")</f>
        <v/>
      </c>
      <c r="B656" t="inlineStr">
        <is>
          <t>43:20</t>
        </is>
      </c>
      <c r="C656" t="inlineStr">
        <is>
          <t>parked in the driveway</t>
        </is>
      </c>
      <c r="D656">
        <f>HYPERLINK("https://www.youtube.com/watch?v=6ErBOaY1yX4&amp;t=2600s", "Go to time")</f>
        <v/>
      </c>
    </row>
    <row r="657">
      <c r="A657">
        <f>HYPERLINK("https://www.youtube.com/watch?v=6ErBOaY1yX4", "Video")</f>
        <v/>
      </c>
      <c r="B657" t="inlineStr">
        <is>
          <t>48:24</t>
        </is>
      </c>
      <c r="C657" t="inlineStr">
        <is>
          <t>drives past a few car links behind</t>
        </is>
      </c>
      <c r="D657">
        <f>HYPERLINK("https://www.youtube.com/watch?v=6ErBOaY1yX4&amp;t=2904s", "Go to time")</f>
        <v/>
      </c>
    </row>
    <row r="658">
      <c r="A658">
        <f>HYPERLINK("https://www.youtube.com/watch?v=6ErBOaY1yX4", "Video")</f>
        <v/>
      </c>
      <c r="B658" t="inlineStr">
        <is>
          <t>48:45</t>
        </is>
      </c>
      <c r="C658" t="inlineStr">
        <is>
          <t>but jimmy's brain is in overdrive as we</t>
        </is>
      </c>
      <c r="D658">
        <f>HYPERLINK("https://www.youtube.com/watch?v=6ErBOaY1yX4&amp;t=2925s", "Go to time")</f>
        <v/>
      </c>
    </row>
    <row r="659">
      <c r="A659">
        <f>HYPERLINK("https://www.youtube.com/watch?v=6ErBOaY1yX4", "Video")</f>
        <v/>
      </c>
      <c r="B659" t="inlineStr">
        <is>
          <t>49:31</t>
        </is>
      </c>
      <c r="C659" t="inlineStr">
        <is>
          <t>he drives on no one cuts out jimmy</t>
        </is>
      </c>
      <c r="D659">
        <f>HYPERLINK("https://www.youtube.com/watch?v=6ErBOaY1yX4&amp;t=2971s", "Go to time")</f>
        <v/>
      </c>
    </row>
    <row r="660">
      <c r="A660">
        <f>HYPERLINK("https://www.youtube.com/watch?v=6ErBOaY1yX4", "Video")</f>
        <v/>
      </c>
      <c r="B660" t="inlineStr">
        <is>
          <t>49:40</t>
        </is>
      </c>
      <c r="C660" t="inlineStr">
        <is>
          <t>into the driveway</t>
        </is>
      </c>
      <c r="D660">
        <f>HYPERLINK("https://www.youtube.com/watch?v=6ErBOaY1yX4&amp;t=2980s", "Go to time")</f>
        <v/>
      </c>
    </row>
    <row r="661">
      <c r="A661">
        <f>HYPERLINK("https://www.youtube.com/watch?v=6ErBOaY1yX4", "Video")</f>
        <v/>
      </c>
      <c r="B661" t="inlineStr">
        <is>
          <t>49:54</t>
        </is>
      </c>
      <c r="C661" t="inlineStr">
        <is>
          <t>cane nubs hit the driveway</t>
        </is>
      </c>
      <c r="D661">
        <f>HYPERLINK("https://www.youtube.com/watch?v=6ErBOaY1yX4&amp;t=2994s", "Go to time")</f>
        <v/>
      </c>
    </row>
    <row r="662">
      <c r="A662">
        <f>HYPERLINK("https://www.youtube.com/watch?v=6ErBOaY1yX4", "Video")</f>
        <v/>
      </c>
      <c r="B662" t="inlineStr">
        <is>
          <t>50:48</t>
        </is>
      </c>
      <c r="C662" t="inlineStr">
        <is>
          <t>esteem with jimmy he drives the streets</t>
        </is>
      </c>
      <c r="D662">
        <f>HYPERLINK("https://www.youtube.com/watch?v=6ErBOaY1yX4&amp;t=3048s", "Go to time")</f>
        <v/>
      </c>
    </row>
    <row r="663">
      <c r="A663">
        <f>HYPERLINK("https://www.youtube.com/watch?v=U0b_eF4Cv_4", "Video")</f>
        <v/>
      </c>
      <c r="B663" t="inlineStr">
        <is>
          <t>0:18</t>
        </is>
      </c>
      <c r="C663" t="inlineStr">
        <is>
          <t>drives a brand new Mustang convertible</t>
        </is>
      </c>
      <c r="D663">
        <f>HYPERLINK("https://www.youtube.com/watch?v=U0b_eF4Cv_4&amp;t=18s", "Go to time")</f>
        <v/>
      </c>
    </row>
    <row r="664">
      <c r="A664">
        <f>HYPERLINK("https://www.youtube.com/watch?v=U0b_eF4Cv_4", "Video")</f>
        <v/>
      </c>
      <c r="B664" t="inlineStr">
        <is>
          <t>0:22</t>
        </is>
      </c>
      <c r="C664" t="inlineStr">
        <is>
          <t>you want to drive my car how can my guy</t>
        </is>
      </c>
      <c r="D664">
        <f>HYPERLINK("https://www.youtube.com/watch?v=U0b_eF4Cv_4&amp;t=22s", "Go to time")</f>
        <v/>
      </c>
    </row>
    <row r="665">
      <c r="A665">
        <f>HYPERLINK("https://www.youtube.com/watch?v=U0b_eF4Cv_4", "Video")</f>
        <v/>
      </c>
      <c r="B665" t="inlineStr">
        <is>
          <t>1:57</t>
        </is>
      </c>
      <c r="C665" t="inlineStr">
        <is>
          <t>Ford so Saul Goodman dve drives a brown</t>
        </is>
      </c>
      <c r="D665">
        <f>HYPERLINK("https://www.youtube.com/watch?v=U0b_eF4Cv_4&amp;t=117s", "Go to time")</f>
        <v/>
      </c>
    </row>
    <row r="666">
      <c r="A666">
        <f>HYPERLINK("https://www.youtube.com/watch?v=U0b_eF4Cv_4", "Video")</f>
        <v/>
      </c>
      <c r="B666" t="inlineStr">
        <is>
          <t>2:07</t>
        </is>
      </c>
      <c r="C666" t="inlineStr">
        <is>
          <t>would drive something with a little</t>
        </is>
      </c>
      <c r="D666">
        <f>HYPERLINK("https://www.youtube.com/watch?v=U0b_eF4Cv_4&amp;t=127s", "Go to time")</f>
        <v/>
      </c>
    </row>
    <row r="667">
      <c r="A667">
        <f>HYPERLINK("https://www.youtube.com/watch?v=tiawa2xA39U", "Video")</f>
        <v/>
      </c>
      <c r="B667" t="inlineStr">
        <is>
          <t>1:30</t>
        </is>
      </c>
      <c r="C667" t="inlineStr">
        <is>
          <t>to drive one of them home</t>
        </is>
      </c>
      <c r="D667">
        <f>HYPERLINK("https://www.youtube.com/watch?v=tiawa2xA39U&amp;t=90s", "Go to time")</f>
        <v/>
      </c>
    </row>
    <row r="668">
      <c r="A668">
        <f>HYPERLINK("https://www.youtube.com/watch?v=uuBP1eF8mVY", "Video")</f>
        <v/>
      </c>
      <c r="B668" t="inlineStr">
        <is>
          <t>2:01</t>
        </is>
      </c>
      <c r="C668" t="inlineStr">
        <is>
          <t>the alarm drives the housekeeper crazy</t>
        </is>
      </c>
      <c r="D668">
        <f>HYPERLINK("https://www.youtube.com/watch?v=uuBP1eF8mVY&amp;t=121s", "Go to time")</f>
        <v/>
      </c>
    </row>
    <row r="669">
      <c r="A669">
        <f>HYPERLINK("https://www.youtube.com/watch?v=k977h8eNMk4", "Video")</f>
        <v/>
      </c>
      <c r="B669" t="inlineStr">
        <is>
          <t>8:25</t>
        </is>
      </c>
      <c r="C669" t="inlineStr">
        <is>
          <t>absolutely L you okay to drive yeah</t>
        </is>
      </c>
      <c r="D669">
        <f>HYPERLINK("https://www.youtube.com/watch?v=k977h8eNMk4&amp;t=505s", "Go to time")</f>
        <v/>
      </c>
    </row>
    <row r="670">
      <c r="A670">
        <f>HYPERLINK("https://www.youtube.com/watch?v=mckFFOB6DJY", "Video")</f>
        <v/>
      </c>
      <c r="B670" t="inlineStr">
        <is>
          <t>2:21</t>
        </is>
      </c>
      <c r="C670" t="inlineStr">
        <is>
          <t>driveway are yours yeah that's mine uh</t>
        </is>
      </c>
      <c r="D670">
        <f>HYPERLINK("https://www.youtube.com/watch?v=mckFFOB6DJY&amp;t=141s", "Go to time")</f>
        <v/>
      </c>
    </row>
    <row r="671">
      <c r="A671">
        <f>HYPERLINK("https://www.youtube.com/watch?v=RB8G5m2yTY8", "Video")</f>
        <v/>
      </c>
      <c r="B671" t="inlineStr">
        <is>
          <t>6:57</t>
        </is>
      </c>
      <c r="C671" t="inlineStr">
        <is>
          <t>here and just drop drive right under and</t>
        </is>
      </c>
      <c r="D671">
        <f>HYPERLINK("https://www.youtube.com/watch?v=RB8G5m2yTY8&amp;t=417s", "Go to time")</f>
        <v/>
      </c>
    </row>
    <row r="672">
      <c r="A672">
        <f>HYPERLINK("https://www.youtube.com/watch?v=Ha1aBfxlf0g", "Video")</f>
        <v/>
      </c>
      <c r="B672" t="inlineStr">
        <is>
          <t>2:36</t>
        </is>
      </c>
      <c r="C672" t="inlineStr">
        <is>
          <t>I JUST HOPE THEY MAKE IT
OUT OF THE DRIVEWAY.</t>
        </is>
      </c>
      <c r="D672">
        <f>HYPERLINK("https://www.youtube.com/watch?v=Ha1aBfxlf0g&amp;t=156s", "Go to time")</f>
        <v/>
      </c>
    </row>
    <row r="673">
      <c r="A673">
        <f>HYPERLINK("https://www.youtube.com/watch?v=HsIGTag5cmg", "Video")</f>
        <v/>
      </c>
      <c r="B673" t="inlineStr">
        <is>
          <t>11:00</t>
        </is>
      </c>
      <c r="C673" t="inlineStr">
        <is>
          <t>see nothing drives the ladies mad like</t>
        </is>
      </c>
      <c r="D673">
        <f>HYPERLINK("https://www.youtube.com/watch?v=HsIGTag5cmg&amp;t=660s", "Go to time")</f>
        <v/>
      </c>
    </row>
    <row r="674">
      <c r="A674">
        <f>HYPERLINK("https://www.youtube.com/watch?v=wYO2Z0w-XGE", "Video")</f>
        <v/>
      </c>
      <c r="B674" t="inlineStr">
        <is>
          <t>0:53</t>
        </is>
      </c>
      <c r="C674" t="inlineStr">
        <is>
          <t>drive me crazy</t>
        </is>
      </c>
      <c r="D674">
        <f>HYPERLINK("https://www.youtube.com/watch?v=wYO2Z0w-XGE&amp;t=53s", "Go to time")</f>
        <v/>
      </c>
    </row>
    <row r="675">
      <c r="A675">
        <f>HYPERLINK("https://www.youtube.com/watch?v=fgmFhjAaWFQ", "Video")</f>
        <v/>
      </c>
      <c r="B675" t="inlineStr">
        <is>
          <t>5:44</t>
        </is>
      </c>
      <c r="C675" t="inlineStr">
        <is>
          <t>look a little young to drive a forklift</t>
        </is>
      </c>
      <c r="D675">
        <f>HYPERLINK("https://www.youtube.com/watch?v=fgmFhjAaWFQ&amp;t=344s", "Go to time")</f>
        <v/>
      </c>
    </row>
    <row r="676">
      <c r="A676">
        <f>HYPERLINK("https://www.youtube.com/watch?v=FeUg4UoNZU8", "Video")</f>
        <v/>
      </c>
      <c r="B676" t="inlineStr">
        <is>
          <t>0:49</t>
        </is>
      </c>
      <c r="C676" t="inlineStr">
        <is>
          <t>put in the toy drive bin for the kids</t>
        </is>
      </c>
      <c r="D676">
        <f>HYPERLINK("https://www.youtube.com/watch?v=FeUg4UoNZU8&amp;t=49s", "Go to time")</f>
        <v/>
      </c>
    </row>
    <row r="677">
      <c r="A677">
        <f>HYPERLINK("https://www.youtube.com/watch?v=65zyKjUAcSc", "Video")</f>
        <v/>
      </c>
      <c r="B677" t="inlineStr">
        <is>
          <t>1:14</t>
        </is>
      </c>
      <c r="C677" t="inlineStr">
        <is>
          <t>dinner tapping his feet she drives me</t>
        </is>
      </c>
      <c r="D677">
        <f>HYPERLINK("https://www.youtube.com/watch?v=65zyKjUAcSc&amp;t=74s", "Go to time")</f>
        <v/>
      </c>
    </row>
    <row r="678">
      <c r="A678">
        <f>HYPERLINK("https://www.youtube.com/watch?v=65zyKjUAcSc", "Video")</f>
        <v/>
      </c>
      <c r="B678" t="inlineStr">
        <is>
          <t>1:46</t>
        </is>
      </c>
      <c r="C678" t="inlineStr">
        <is>
          <t>Music drive you when you love it and</t>
        </is>
      </c>
      <c r="D678">
        <f>HYPERLINK("https://www.youtube.com/watch?v=65zyKjUAcSc&amp;t=106s", "Go to time")</f>
        <v/>
      </c>
    </row>
    <row r="679">
      <c r="A679">
        <f>HYPERLINK("https://www.youtube.com/watch?v=UkRlkzDtMhE", "Video")</f>
        <v/>
      </c>
      <c r="B679" t="inlineStr">
        <is>
          <t>0:08</t>
        </is>
      </c>
      <c r="C679" t="inlineStr">
        <is>
          <t>go what do you need they drive to kill</t>
        </is>
      </c>
      <c r="D679">
        <f>HYPERLINK("https://www.youtube.com/watch?v=UkRlkzDtMhE&amp;t=8s", "Go to time")</f>
        <v/>
      </c>
    </row>
    <row r="680">
      <c r="A680">
        <f>HYPERLINK("https://www.youtube.com/watch?v=z-fkQrqE300", "Video")</f>
        <v/>
      </c>
      <c r="B680" t="inlineStr">
        <is>
          <t>0:35</t>
        </is>
      </c>
      <c r="C680" t="inlineStr">
        <is>
          <t>I put some music
on this hard drive.</t>
        </is>
      </c>
      <c r="D680">
        <f>HYPERLINK("https://www.youtube.com/watch?v=z-fkQrqE300&amp;t=35s", "Go to time")</f>
        <v/>
      </c>
    </row>
    <row r="681">
      <c r="A681">
        <f>HYPERLINK("https://www.youtube.com/watch?v=jiDMqDdRKdg", "Video")</f>
        <v/>
      </c>
      <c r="B681" t="inlineStr">
        <is>
          <t>36:46</t>
        </is>
      </c>
      <c r="C681" t="inlineStr">
        <is>
          <t>festival beta people drive tens of miles</t>
        </is>
      </c>
      <c r="D681">
        <f>HYPERLINK("https://www.youtube.com/watch?v=jiDMqDdRKdg&amp;t=2206s", "Go to time")</f>
        <v/>
      </c>
    </row>
    <row r="682">
      <c r="A682">
        <f>HYPERLINK("https://www.youtube.com/watch?v=Uc2RFgeaWAY", "Video")</f>
        <v/>
      </c>
      <c r="B682" t="inlineStr">
        <is>
          <t>2:54</t>
        </is>
      </c>
      <c r="C682" t="inlineStr">
        <is>
          <t>back mom and dad dang it did you drive</t>
        </is>
      </c>
      <c r="D682">
        <f>HYPERLINK("https://www.youtube.com/watch?v=Uc2RFgeaWAY&amp;t=174s", "Go to time")</f>
        <v/>
      </c>
    </row>
    <row r="683">
      <c r="A683">
        <f>HYPERLINK("https://www.youtube.com/watch?v=0QSuijn47o0", "Video")</f>
        <v/>
      </c>
      <c r="B683" t="inlineStr">
        <is>
          <t>4:10</t>
        </is>
      </c>
      <c r="C683" t="inlineStr">
        <is>
          <t>or drives an airplane</t>
        </is>
      </c>
      <c r="D683">
        <f>HYPERLINK("https://www.youtube.com/watch?v=0QSuijn47o0&amp;t=250s", "Go to time")</f>
        <v/>
      </c>
    </row>
    <row r="684">
      <c r="A684">
        <f>HYPERLINK("https://www.youtube.com/watch?v=0QSuijn47o0", "Video")</f>
        <v/>
      </c>
      <c r="B684" t="inlineStr">
        <is>
          <t>62:31</t>
        </is>
      </c>
      <c r="C684" t="inlineStr">
        <is>
          <t>or drives an airplane</t>
        </is>
      </c>
      <c r="D684">
        <f>HYPERLINK("https://www.youtube.com/watch?v=0QSuijn47o0&amp;t=3751s", "Go to time")</f>
        <v/>
      </c>
    </row>
    <row r="685">
      <c r="A685">
        <f>HYPERLINK("https://www.youtube.com/watch?v=9Cn1cf0F6FE", "Video")</f>
        <v/>
      </c>
      <c r="B685" t="inlineStr">
        <is>
          <t>0:25</t>
        </is>
      </c>
      <c r="C685" t="inlineStr">
        <is>
          <t>Ooh! Can drive.</t>
        </is>
      </c>
      <c r="D685">
        <f>HYPERLINK("https://www.youtube.com/watch?v=9Cn1cf0F6FE&amp;t=25s", "Go to time")</f>
        <v/>
      </c>
    </row>
    <row r="686">
      <c r="A686">
        <f>HYPERLINK("https://www.youtube.com/watch?v=9Cn1cf0F6FE", "Video")</f>
        <v/>
      </c>
      <c r="B686" t="inlineStr">
        <is>
          <t>2:17</t>
        </is>
      </c>
      <c r="C686" t="inlineStr">
        <is>
          <t>the canned food drive
is still going on,</t>
        </is>
      </c>
      <c r="D686">
        <f>HYPERLINK("https://www.youtube.com/watch?v=9Cn1cf0F6FE&amp;t=137s", "Go to time")</f>
        <v/>
      </c>
    </row>
    <row r="687">
      <c r="A687">
        <f>HYPERLINK("https://www.youtube.com/watch?v=QR0PjwWT8jU", "Video")</f>
        <v/>
      </c>
      <c r="B687" t="inlineStr">
        <is>
          <t>4:20</t>
        </is>
      </c>
      <c r="C687" t="inlineStr">
        <is>
          <t>driving us relax he's allowed to drive</t>
        </is>
      </c>
      <c r="D687">
        <f>HYPERLINK("https://www.youtube.com/watch?v=QR0PjwWT8jU&amp;t=260s", "Go to time")</f>
        <v/>
      </c>
    </row>
    <row r="688">
      <c r="A688">
        <f>HYPERLINK("https://www.youtube.com/watch?v=XOcQcfkPyUU", "Video")</f>
        <v/>
      </c>
      <c r="B688" t="inlineStr">
        <is>
          <t>0:04</t>
        </is>
      </c>
      <c r="C688" t="inlineStr">
        <is>
          <t>nothing yeah a love y'all drive</t>
        </is>
      </c>
      <c r="D688">
        <f>HYPERLINK("https://www.youtube.com/watch?v=XOcQcfkPyUU&amp;t=4s", "Go to time")</f>
        <v/>
      </c>
    </row>
    <row r="689">
      <c r="A689">
        <f>HYPERLINK("https://www.youtube.com/watch?v=OOVv3xGOIxY", "Video")</f>
        <v/>
      </c>
      <c r="B689" t="inlineStr">
        <is>
          <t>0:35</t>
        </is>
      </c>
      <c r="C689" t="inlineStr">
        <is>
          <t>driver's license definitely not our</t>
        </is>
      </c>
      <c r="D689">
        <f>HYPERLINK("https://www.youtube.com/watch?v=OOVv3xGOIxY&amp;t=35s", "Go to time")</f>
        <v/>
      </c>
    </row>
    <row r="690">
      <c r="A690">
        <f>HYPERLINK("https://www.youtube.com/watch?v=OOVv3xGOIxY", "Video")</f>
        <v/>
      </c>
      <c r="B690" t="inlineStr">
        <is>
          <t>1:58</t>
        </is>
      </c>
      <c r="C690" t="inlineStr">
        <is>
          <t>lack of driver's training don't fail me</t>
        </is>
      </c>
      <c r="D690">
        <f>HYPERLINK("https://www.youtube.com/watch?v=OOVv3xGOIxY&amp;t=118s", "Go to time")</f>
        <v/>
      </c>
    </row>
    <row r="691">
      <c r="A691">
        <f>HYPERLINK("https://www.youtube.com/watch?v=p_7TW-AUslw", "Video")</f>
        <v/>
      </c>
      <c r="B691" t="inlineStr">
        <is>
          <t>40:46</t>
        </is>
      </c>
      <c r="C691" t="inlineStr">
        <is>
          <t>for a test drive you guys are the best</t>
        </is>
      </c>
      <c r="D691">
        <f>HYPERLINK("https://www.youtube.com/watch?v=p_7TW-AUslw&amp;t=2446s", "Go to time")</f>
        <v/>
      </c>
    </row>
    <row r="692">
      <c r="A692">
        <f>HYPERLINK("https://www.youtube.com/watch?v=n3aAIhEYILA", "Video")</f>
        <v/>
      </c>
      <c r="B692" t="inlineStr">
        <is>
          <t>0:05</t>
        </is>
      </c>
      <c r="C692" t="inlineStr">
        <is>
          <t>WELL...
DRIVE-THRU.</t>
        </is>
      </c>
      <c r="D692">
        <f>HYPERLINK("https://www.youtube.com/watch?v=n3aAIhEYILA&amp;t=5s", "Go to time")</f>
        <v/>
      </c>
    </row>
    <row r="693">
      <c r="A693">
        <f>HYPERLINK("https://www.youtube.com/watch?v=n3aAIhEYILA", "Video")</f>
        <v/>
      </c>
      <c r="B693" t="inlineStr">
        <is>
          <t>3:33</t>
        </is>
      </c>
      <c r="C693" t="inlineStr">
        <is>
          <t>WHO WON'T BE OLD ENOUGH
TO DRIVE FOR 4 MORE YEARS.</t>
        </is>
      </c>
      <c r="D693">
        <f>HYPERLINK("https://www.youtube.com/watch?v=n3aAIhEYILA&amp;t=213s", "Go to time")</f>
        <v/>
      </c>
    </row>
    <row r="694">
      <c r="A694">
        <f>HYPERLINK("https://www.youtube.com/watch?v=pYBi1WjkR8U", "Video")</f>
        <v/>
      </c>
      <c r="B694" t="inlineStr">
        <is>
          <t>0:41</t>
        </is>
      </c>
      <c r="C694" t="inlineStr">
        <is>
          <t>screwdriver Didn't die of natural causes</t>
        </is>
      </c>
      <c r="D694">
        <f>HYPERLINK("https://www.youtube.com/watch?v=pYBi1WjkR8U&amp;t=41s", "Go to time")</f>
        <v/>
      </c>
    </row>
    <row r="695">
      <c r="A695">
        <f>HYPERLINK("https://www.youtube.com/watch?v=pYBi1WjkR8U", "Video")</f>
        <v/>
      </c>
      <c r="B695" t="inlineStr">
        <is>
          <t>1:38</t>
        </is>
      </c>
      <c r="C695" t="inlineStr">
        <is>
          <t>death as soon as I find that screwdriver</t>
        </is>
      </c>
      <c r="D695">
        <f>HYPERLINK("https://www.youtube.com/watch?v=pYBi1WjkR8U&amp;t=98s", "Go to time")</f>
        <v/>
      </c>
    </row>
    <row r="696">
      <c r="A696">
        <f>HYPERLINK("https://www.youtube.com/watch?v=pYBi1WjkR8U", "Video")</f>
        <v/>
      </c>
      <c r="B696" t="inlineStr">
        <is>
          <t>1:43</t>
        </is>
      </c>
      <c r="C696" t="inlineStr">
        <is>
          <t>Screwdriver looks like this</t>
        </is>
      </c>
      <c r="D696">
        <f>HYPERLINK("https://www.youtube.com/watch?v=pYBi1WjkR8U&amp;t=103s", "Go to time")</f>
        <v/>
      </c>
    </row>
    <row r="697">
      <c r="A697">
        <f>HYPERLINK("https://www.youtube.com/watch?v=pYBi1WjkR8U", "Video")</f>
        <v/>
      </c>
      <c r="B697" t="inlineStr">
        <is>
          <t>1:54</t>
        </is>
      </c>
      <c r="C697" t="inlineStr">
        <is>
          <t>Screwdriver twisted Nobody gets No</t>
        </is>
      </c>
      <c r="D697">
        <f>HYPERLINK("https://www.youtube.com/watch?v=pYBi1WjkR8U&amp;t=114s", "Go to time")</f>
        <v/>
      </c>
    </row>
    <row r="698">
      <c r="A698">
        <f>HYPERLINK("https://www.youtube.com/watch?v=EPlbuO-1ENs", "Video")</f>
        <v/>
      </c>
      <c r="B698" t="inlineStr">
        <is>
          <t>2:46</t>
        </is>
      </c>
      <c r="C698" t="inlineStr">
        <is>
          <t>joining the disney ultimate toy drive to</t>
        </is>
      </c>
      <c r="D698">
        <f>HYPERLINK("https://www.youtube.com/watch?v=EPlbuO-1ENs&amp;t=166s", "Go to time")</f>
        <v/>
      </c>
    </row>
    <row r="699">
      <c r="A699">
        <f>HYPERLINK("https://www.youtube.com/watch?v=bgQp6BpmgkU", "Video")</f>
        <v/>
      </c>
      <c r="B699" t="inlineStr">
        <is>
          <t>0:38</t>
        </is>
      </c>
      <c r="C699" t="inlineStr">
        <is>
          <t>and their drive
to destroy our planet.</t>
        </is>
      </c>
      <c r="D699">
        <f>HYPERLINK("https://www.youtube.com/watch?v=bgQp6BpmgkU&amp;t=38s", "Go to time")</f>
        <v/>
      </c>
    </row>
    <row r="700">
      <c r="A700">
        <f>HYPERLINK("https://www.youtube.com/watch?v=bgQp6BpmgkU", "Video")</f>
        <v/>
      </c>
      <c r="B700" t="inlineStr">
        <is>
          <t>1:14</t>
        </is>
      </c>
      <c r="C700" t="inlineStr">
        <is>
          <t>and their drive
to destroy our planet.</t>
        </is>
      </c>
      <c r="D700">
        <f>HYPERLINK("https://www.youtube.com/watch?v=bgQp6BpmgkU&amp;t=74s", "Go to time")</f>
        <v/>
      </c>
    </row>
    <row r="701">
      <c r="A701">
        <f>HYPERLINK("https://www.youtube.com/watch?v=bgQp6BpmgkU", "Video")</f>
        <v/>
      </c>
      <c r="B701" t="inlineStr">
        <is>
          <t>1:28</t>
        </is>
      </c>
      <c r="C701" t="inlineStr">
        <is>
          <t>and their drive
to destroy our planet.</t>
        </is>
      </c>
      <c r="D701">
        <f>HYPERLINK("https://www.youtube.com/watch?v=bgQp6BpmgkU&amp;t=88s", "Go to time")</f>
        <v/>
      </c>
    </row>
    <row r="702">
      <c r="A702">
        <f>HYPERLINK("https://www.youtube.com/watch?v=Zr0_BQ5qu5A", "Video")</f>
        <v/>
      </c>
      <c r="B702" t="inlineStr">
        <is>
          <t>0:56</t>
        </is>
      </c>
      <c r="C702" t="inlineStr">
        <is>
          <t>shore drive have the funnest time watch</t>
        </is>
      </c>
      <c r="D702">
        <f>HYPERLINK("https://www.youtube.com/watch?v=Zr0_BQ5qu5A&amp;t=56s", "Go to time")</f>
        <v/>
      </c>
    </row>
    <row r="703">
      <c r="A703">
        <f>HYPERLINK("https://www.youtube.com/watch?v=EiKJl7a3bE4", "Video")</f>
        <v/>
      </c>
      <c r="B703" t="inlineStr">
        <is>
          <t>0:23</t>
        </is>
      </c>
      <c r="C703" t="inlineStr">
        <is>
          <t>Helen's drive to be discovered
ensured her grooming would</t>
        </is>
      </c>
      <c r="D703">
        <f>HYPERLINK("https://www.youtube.com/watch?v=EiKJl7a3bE4&amp;t=23s", "Go to time")</f>
        <v/>
      </c>
    </row>
    <row r="704">
      <c r="A704">
        <f>HYPERLINK("https://www.youtube.com/watch?v=Gj-w7tHdFNM", "Video")</f>
        <v/>
      </c>
      <c r="B704" t="inlineStr">
        <is>
          <t>4:36</t>
        </is>
      </c>
      <c r="C704" t="inlineStr">
        <is>
          <t>wisecracking cab driver by night crash</t>
        </is>
      </c>
      <c r="D704">
        <f>HYPERLINK("https://www.youtube.com/watch?v=Gj-w7tHdFNM&amp;t=276s", "Go to time")</f>
        <v/>
      </c>
    </row>
    <row r="705">
      <c r="A705">
        <f>HYPERLINK("https://www.youtube.com/watch?v=sA-roEl4Uig", "Video")</f>
        <v/>
      </c>
      <c r="B705" t="inlineStr">
        <is>
          <t>18:18</t>
        </is>
      </c>
      <c r="C705" t="inlineStr">
        <is>
          <t>you teach us to drive no no no no no I</t>
        </is>
      </c>
      <c r="D705">
        <f>HYPERLINK("https://www.youtube.com/watch?v=sA-roEl4Uig&amp;t=1098s", "Go to time")</f>
        <v/>
      </c>
    </row>
    <row r="706">
      <c r="A706">
        <f>HYPERLINK("https://www.youtube.com/watch?v=sA-roEl4Uig", "Video")</f>
        <v/>
      </c>
      <c r="B706" t="inlineStr">
        <is>
          <t>18:26</t>
        </is>
      </c>
      <c r="C706" t="inlineStr">
        <is>
          <t>could drive once you</t>
        </is>
      </c>
      <c r="D706">
        <f>HYPERLINK("https://www.youtube.com/watch?v=sA-roEl4Uig&amp;t=1106s", "Go to time")</f>
        <v/>
      </c>
    </row>
    <row r="707">
      <c r="A707">
        <f>HYPERLINK("https://www.youtube.com/watch?v=sA-roEl4Uig", "Video")</f>
        <v/>
      </c>
      <c r="B707" t="inlineStr">
        <is>
          <t>19:41</t>
        </is>
      </c>
      <c r="C707" t="inlineStr">
        <is>
          <t>Booker you drive too fast Mia you drive</t>
        </is>
      </c>
      <c r="D707">
        <f>HYPERLINK("https://www.youtube.com/watch?v=sA-roEl4Uig&amp;t=1181s", "Go to time")</f>
        <v/>
      </c>
    </row>
    <row r="708">
      <c r="A708">
        <f>HYPERLINK("https://www.youtube.com/watch?v=vwcfEISybXc", "Video")</f>
        <v/>
      </c>
      <c r="B708" t="inlineStr">
        <is>
          <t>1:26</t>
        </is>
      </c>
      <c r="C708" t="inlineStr">
        <is>
          <t>Who needs a car? I’ll drive 
my sheep on the street!</t>
        </is>
      </c>
      <c r="D708">
        <f>HYPERLINK("https://www.youtube.com/watch?v=vwcfEISybXc&amp;t=86s", "Go to time")</f>
        <v/>
      </c>
    </row>
    <row r="709">
      <c r="A709">
        <f>HYPERLINK("https://www.youtube.com/watch?v=o-nwuyCs99Y", "Video")</f>
        <v/>
      </c>
      <c r="B709" t="inlineStr">
        <is>
          <t>12:48</t>
        </is>
      </c>
      <c r="C709" t="inlineStr">
        <is>
          <t>did you ever get your driver's license</t>
        </is>
      </c>
      <c r="D709">
        <f>HYPERLINK("https://www.youtube.com/watch?v=o-nwuyCs99Y&amp;t=768s", "Go to time")</f>
        <v/>
      </c>
    </row>
    <row r="710">
      <c r="A710">
        <f>HYPERLINK("https://www.youtube.com/watch?v=1ENJ-XmKtVg", "Video")</f>
        <v/>
      </c>
      <c r="B710" t="inlineStr">
        <is>
          <t>0:03</t>
        </is>
      </c>
      <c r="C710" t="inlineStr">
        <is>
          <t>W they shouldn't let dogs drive they</t>
        </is>
      </c>
      <c r="D710">
        <f>HYPERLINK("https://www.youtube.com/watch?v=1ENJ-XmKtVg&amp;t=3s", "Go to time")</f>
        <v/>
      </c>
    </row>
    <row r="711">
      <c r="A711">
        <f>HYPERLINK("https://www.youtube.com/watch?v=o4_sRiRPufs", "Video")</f>
        <v/>
      </c>
      <c r="B711" t="inlineStr">
        <is>
          <t>0:52</t>
        </is>
      </c>
      <c r="C711" t="inlineStr">
        <is>
          <t>okay i've never driven a car but i have</t>
        </is>
      </c>
      <c r="D711">
        <f>HYPERLINK("https://www.youtube.com/watch?v=o4_sRiRPufs&amp;t=52s", "Go to time")</f>
        <v/>
      </c>
    </row>
    <row r="712">
      <c r="A712">
        <f>HYPERLINK("https://www.youtube.com/watch?v=o4_sRiRPufs", "Video")</f>
        <v/>
      </c>
      <c r="B712" t="inlineStr">
        <is>
          <t>0:54</t>
        </is>
      </c>
      <c r="C712" t="inlineStr">
        <is>
          <t>driven bessie and play 900 hours of</t>
        </is>
      </c>
      <c r="D712">
        <f>HYPERLINK("https://www.youtube.com/watch?v=o4_sRiRPufs&amp;t=54s", "Go to time")</f>
        <v/>
      </c>
    </row>
    <row r="713">
      <c r="A713">
        <f>HYPERLINK("https://www.youtube.com/watch?v=_J8_mC_5Qr8", "Video")</f>
        <v/>
      </c>
      <c r="B713" t="inlineStr">
        <is>
          <t>10:30</t>
        </is>
      </c>
      <c r="C713" t="inlineStr">
        <is>
          <t>cab driver lash looper was secretly</t>
        </is>
      </c>
      <c r="D713">
        <f>HYPERLINK("https://www.youtube.com/watch?v=_J8_mC_5Qr8&amp;t=630s", "Go to time")</f>
        <v/>
      </c>
    </row>
    <row r="714">
      <c r="A714">
        <f>HYPERLINK("https://www.youtube.com/watch?v=eqT3ewxcRL4", "Video")</f>
        <v/>
      </c>
      <c r="B714" t="inlineStr">
        <is>
          <t>1:01</t>
        </is>
      </c>
      <c r="C714" t="inlineStr">
        <is>
          <t>He's got a license and
knows how to drive a van.</t>
        </is>
      </c>
      <c r="D714">
        <f>HYPERLINK("https://www.youtube.com/watch?v=eqT3ewxcRL4&amp;t=61s", "Go to time")</f>
        <v/>
      </c>
    </row>
    <row r="715">
      <c r="A715">
        <f>HYPERLINK("https://www.youtube.com/watch?v=OVjhs3xs0Hg", "Video")</f>
        <v/>
      </c>
      <c r="B715" t="inlineStr">
        <is>
          <t>1:41</t>
        </is>
      </c>
      <c r="C715" t="inlineStr">
        <is>
          <t>Wow, your daddy cannot drive.</t>
        </is>
      </c>
      <c r="D715">
        <f>HYPERLINK("https://www.youtube.com/watch?v=OVjhs3xs0Hg&amp;t=101s", "Go to time")</f>
        <v/>
      </c>
    </row>
    <row r="716">
      <c r="A716">
        <f>HYPERLINK("https://www.youtube.com/watch?v=OVjhs3xs0Hg", "Video")</f>
        <v/>
      </c>
      <c r="B716" t="inlineStr">
        <is>
          <t>10:21</t>
        </is>
      </c>
      <c r="C716" t="inlineStr">
        <is>
          <t>I'm just afraid to drive away.</t>
        </is>
      </c>
      <c r="D716">
        <f>HYPERLINK("https://www.youtube.com/watch?v=OVjhs3xs0Hg&amp;t=621s", "Go to time")</f>
        <v/>
      </c>
    </row>
    <row r="717">
      <c r="A717">
        <f>HYPERLINK("https://www.youtube.com/watch?v=5Db5Ire4CIg", "Video")</f>
        <v/>
      </c>
      <c r="B717" t="inlineStr">
        <is>
          <t>0:50</t>
        </is>
      </c>
      <c r="C717" t="inlineStr">
        <is>
          <t>driver Gus looking so sus putting that</t>
        </is>
      </c>
      <c r="D717">
        <f>HYPERLINK("https://www.youtube.com/watch?v=5Db5Ire4CIg&amp;t=50s", "Go to time")</f>
        <v/>
      </c>
    </row>
    <row r="718">
      <c r="A718">
        <f>HYPERLINK("https://www.youtube.com/watch?v=VLng5eCWsaY", "Video")</f>
        <v/>
      </c>
      <c r="B718" t="inlineStr">
        <is>
          <t>0:14</t>
        </is>
      </c>
      <c r="C718" t="inlineStr">
        <is>
          <t>drive the tiger was badly injured in the</t>
        </is>
      </c>
      <c r="D718">
        <f>HYPERLINK("https://www.youtube.com/watch?v=VLng5eCWsaY&amp;t=14s", "Go to time")</f>
        <v/>
      </c>
    </row>
    <row r="719">
      <c r="A719">
        <f>HYPERLINK("https://www.youtube.com/watch?v=MIvURab_QIg", "Video")</f>
        <v/>
      </c>
      <c r="B719" t="inlineStr">
        <is>
          <t>6:59</t>
        </is>
      </c>
      <c r="C719" t="inlineStr">
        <is>
          <t>She thought it was a
drive-through.</t>
        </is>
      </c>
      <c r="D719">
        <f>HYPERLINK("https://www.youtube.com/watch?v=MIvURab_QIg&amp;t=419s", "Go to time")</f>
        <v/>
      </c>
    </row>
    <row r="720">
      <c r="A720">
        <f>HYPERLINK("https://www.youtube.com/watch?v=MIvURab_QIg", "Video")</f>
        <v/>
      </c>
      <c r="B720" t="inlineStr">
        <is>
          <t>21:39</t>
        </is>
      </c>
      <c r="C720" t="inlineStr">
        <is>
          <t>♪ I'm gonna drive that car
Drive that car ♪</t>
        </is>
      </c>
      <c r="D720">
        <f>HYPERLINK("https://www.youtube.com/watch?v=MIvURab_QIg&amp;t=1299s", "Go to time")</f>
        <v/>
      </c>
    </row>
    <row r="721">
      <c r="A721">
        <f>HYPERLINK("https://www.youtube.com/watch?v=eWQgnZCd21U", "Video")</f>
        <v/>
      </c>
      <c r="B721" t="inlineStr">
        <is>
          <t>1:25</t>
        </is>
      </c>
      <c r="C721" t="inlineStr">
        <is>
          <t>I've seen a motorcycle
drive over his head.</t>
        </is>
      </c>
      <c r="D721">
        <f>HYPERLINK("https://www.youtube.com/watch?v=eWQgnZCd21U&amp;t=85s", "Go to time")</f>
        <v/>
      </c>
    </row>
    <row r="722">
      <c r="A722">
        <f>HYPERLINK("https://www.youtube.com/watch?v=ffmz1bmKo0k", "Video")</f>
        <v/>
      </c>
      <c r="B722" t="inlineStr">
        <is>
          <t>15:58</t>
        </is>
      </c>
      <c r="C722" t="inlineStr">
        <is>
          <t>-(crash)
-Drive!</t>
        </is>
      </c>
      <c r="D722">
        <f>HYPERLINK("https://www.youtube.com/watch?v=ffmz1bmKo0k&amp;t=958s", "Go to time")</f>
        <v/>
      </c>
    </row>
    <row r="723">
      <c r="A723">
        <f>HYPERLINK("https://www.youtube.com/watch?v=ffmz1bmKo0k", "Video")</f>
        <v/>
      </c>
      <c r="B723" t="inlineStr">
        <is>
          <t>16:01</t>
        </is>
      </c>
      <c r="C723" t="inlineStr">
        <is>
          <t>(driver grunts)</t>
        </is>
      </c>
      <c r="D723">
        <f>HYPERLINK("https://www.youtube.com/watch?v=ffmz1bmKo0k&amp;t=961s", "Go to time")</f>
        <v/>
      </c>
    </row>
    <row r="724">
      <c r="A724">
        <f>HYPERLINK("https://www.youtube.com/watch?v=BXcBa-GM83M", "Video")</f>
        <v/>
      </c>
      <c r="B724" t="inlineStr">
        <is>
          <t>1:19</t>
        </is>
      </c>
      <c r="C724" t="inlineStr">
        <is>
          <t>and the person can drive it basically a</t>
        </is>
      </c>
      <c r="D724">
        <f>HYPERLINK("https://www.youtube.com/watch?v=BXcBa-GM83M&amp;t=79s", "Go to time")</f>
        <v/>
      </c>
    </row>
    <row r="725">
      <c r="A725">
        <f>HYPERLINK("https://www.youtube.com/watch?v=tk05Zwuwlfc", "Video")</f>
        <v/>
      </c>
      <c r="B725" t="inlineStr">
        <is>
          <t>0:36</t>
        </is>
      </c>
      <c r="C725" t="inlineStr">
        <is>
          <t>rink the drive of the show is for her to</t>
        </is>
      </c>
      <c r="D725">
        <f>HYPERLINK("https://www.youtube.com/watch?v=tk05Zwuwlfc&amp;t=36s", "Go to time")</f>
        <v/>
      </c>
    </row>
    <row r="726">
      <c r="A726">
        <f>HYPERLINK("https://www.youtube.com/watch?v=byxq6xxE-4c", "Video")</f>
        <v/>
      </c>
      <c r="B726" t="inlineStr">
        <is>
          <t>1:03</t>
        </is>
      </c>
      <c r="C726" t="inlineStr">
        <is>
          <t>you'll drive moly past my dad</t>
        </is>
      </c>
      <c r="D726">
        <f>HYPERLINK("https://www.youtube.com/watch?v=byxq6xxE-4c&amp;t=63s", "Go to time")</f>
        <v/>
      </c>
    </row>
    <row r="727">
      <c r="A727">
        <f>HYPERLINK("https://www.youtube.com/watch?v=9-qHT4JA7is", "Video")</f>
        <v/>
      </c>
      <c r="B727" t="inlineStr">
        <is>
          <t>0:08</t>
        </is>
      </c>
      <c r="C727" t="inlineStr">
        <is>
          <t>Jeep blue and cool new invisible driver</t>
        </is>
      </c>
      <c r="D727">
        <f>HYPERLINK("https://www.youtube.com/watch?v=9-qHT4JA7is&amp;t=8s", "Go to time")</f>
        <v/>
      </c>
    </row>
    <row r="728">
      <c r="A728">
        <f>HYPERLINK("https://www.youtube.com/watch?v=p6jScaAjGx8", "Video")</f>
        <v/>
      </c>
      <c r="B728" t="inlineStr">
        <is>
          <t>0:08</t>
        </is>
      </c>
      <c r="C728" t="inlineStr">
        <is>
          <t>pass that driver's test and you'll be</t>
        </is>
      </c>
      <c r="D728">
        <f>HYPERLINK("https://www.youtube.com/watch?v=p6jScaAjGx8&amp;t=8s", "Go to time")</f>
        <v/>
      </c>
    </row>
    <row r="729">
      <c r="A729">
        <f>HYPERLINK("https://www.youtube.com/watch?v=p6jScaAjGx8", "Video")</f>
        <v/>
      </c>
      <c r="B729" t="inlineStr">
        <is>
          <t>0:21</t>
        </is>
      </c>
      <c r="C729" t="inlineStr">
        <is>
          <t>to drive and i sure as heck don't need</t>
        </is>
      </c>
      <c r="D729">
        <f>HYPERLINK("https://www.youtube.com/watch?v=p6jScaAjGx8&amp;t=21s", "Go to time")</f>
        <v/>
      </c>
    </row>
    <row r="730">
      <c r="A730">
        <f>HYPERLINK("https://www.youtube.com/watch?v=p6jScaAjGx8", "Video")</f>
        <v/>
      </c>
      <c r="B730" t="inlineStr">
        <is>
          <t>3:01</t>
        </is>
      </c>
      <c r="C730" t="inlineStr">
        <is>
          <t>just have to take the wheel and drive no</t>
        </is>
      </c>
      <c r="D730">
        <f>HYPERLINK("https://www.youtube.com/watch?v=p6jScaAjGx8&amp;t=181s", "Go to time")</f>
        <v/>
      </c>
    </row>
    <row r="731">
      <c r="A731">
        <f>HYPERLINK("https://www.youtube.com/watch?v=p6jScaAjGx8", "Video")</f>
        <v/>
      </c>
      <c r="B731" t="inlineStr">
        <is>
          <t>3:39</t>
        </is>
      </c>
      <c r="C731" t="inlineStr">
        <is>
          <t>come on grandma just drive already</t>
        </is>
      </c>
      <c r="D731">
        <f>HYPERLINK("https://www.youtube.com/watch?v=p6jScaAjGx8&amp;t=219s", "Go to time")</f>
        <v/>
      </c>
    </row>
    <row r="732">
      <c r="A732">
        <f>HYPERLINK("https://www.youtube.com/watch?v=p6jScaAjGx8", "Video")</f>
        <v/>
      </c>
      <c r="B732" t="inlineStr">
        <is>
          <t>3:43</t>
        </is>
      </c>
      <c r="C732" t="inlineStr">
        <is>
          <t>is for goodness sake why won't you drive</t>
        </is>
      </c>
      <c r="D732">
        <f>HYPERLINK("https://www.youtube.com/watch?v=p6jScaAjGx8&amp;t=223s", "Go to time")</f>
        <v/>
      </c>
    </row>
    <row r="733">
      <c r="A733">
        <f>HYPERLINK("https://www.youtube.com/watch?v=p6jScaAjGx8", "Video")</f>
        <v/>
      </c>
      <c r="B733" t="inlineStr">
        <is>
          <t>3:58</t>
        </is>
      </c>
      <c r="C733" t="inlineStr">
        <is>
          <t>i fail that driver's test</t>
        </is>
      </c>
      <c r="D733">
        <f>HYPERLINK("https://www.youtube.com/watch?v=p6jScaAjGx8&amp;t=238s", "Go to time")</f>
        <v/>
      </c>
    </row>
    <row r="734">
      <c r="A734">
        <f>HYPERLINK("https://www.youtube.com/watch?v=J-gq8O4Exgs", "Video")</f>
        <v/>
      </c>
      <c r="B734" t="inlineStr">
        <is>
          <t>0:00</t>
        </is>
      </c>
      <c r="C734" t="inlineStr">
        <is>
          <t>oh golly are you guys ready I'll drive</t>
        </is>
      </c>
      <c r="D734">
        <f>HYPERLINK("https://www.youtube.com/watch?v=J-gq8O4Exgs&amp;t=0s", "Go to time")</f>
        <v/>
      </c>
    </row>
    <row r="735">
      <c r="A735">
        <f>HYPERLINK("https://www.youtube.com/watch?v=J-gq8O4Exgs", "Video")</f>
        <v/>
      </c>
      <c r="B735" t="inlineStr">
        <is>
          <t>1:47</t>
        </is>
      </c>
      <c r="C735" t="inlineStr">
        <is>
          <t>drive us look at the</t>
        </is>
      </c>
      <c r="D735">
        <f>HYPERLINK("https://www.youtube.com/watch?v=J-gq8O4Exgs&amp;t=107s", "Go to time")</f>
        <v/>
      </c>
    </row>
    <row r="736">
      <c r="A736">
        <f>HYPERLINK("https://www.youtube.com/watch?v=WHxJikNfhDo", "Video")</f>
        <v/>
      </c>
      <c r="B736" t="inlineStr">
        <is>
          <t>7:57</t>
        </is>
      </c>
      <c r="C736" t="inlineStr">
        <is>
          <t>Filling that pothole
in the driveway.</t>
        </is>
      </c>
      <c r="D736">
        <f>HYPERLINK("https://www.youtube.com/watch?v=WHxJikNfhDo&amp;t=477s", "Go to time")</f>
        <v/>
      </c>
    </row>
    <row r="737">
      <c r="A737">
        <f>HYPERLINK("https://www.youtube.com/watch?v=WHxJikNfhDo", "Video")</f>
        <v/>
      </c>
      <c r="B737" t="inlineStr">
        <is>
          <t>11:15</t>
        </is>
      </c>
      <c r="C737" t="inlineStr">
        <is>
          <t>Driveway clay.</t>
        </is>
      </c>
      <c r="D737">
        <f>HYPERLINK("https://www.youtube.com/watch?v=WHxJikNfhDo&amp;t=675s", "Go to time")</f>
        <v/>
      </c>
    </row>
    <row r="738">
      <c r="A738">
        <f>HYPERLINK("https://www.youtube.com/watch?v=Hpnt3rY78Vc", "Video")</f>
        <v/>
      </c>
      <c r="B738" t="inlineStr">
        <is>
          <t>1:40</t>
        </is>
      </c>
      <c r="C738" t="inlineStr">
        <is>
          <t>people drive tens of miles to enter this</t>
        </is>
      </c>
      <c r="D738">
        <f>HYPERLINK("https://www.youtube.com/watch?v=Hpnt3rY78Vc&amp;t=100s", "Go to time")</f>
        <v/>
      </c>
    </row>
    <row r="739">
      <c r="A739">
        <f>HYPERLINK("https://www.youtube.com/watch?v=Czr6tE_a694", "Video")</f>
        <v/>
      </c>
      <c r="B739" t="inlineStr">
        <is>
          <t>0:20</t>
        </is>
      </c>
      <c r="C739" t="inlineStr">
        <is>
          <t>skeleton Taxi Driver see you kids there</t>
        </is>
      </c>
      <c r="D739">
        <f>HYPERLINK("https://www.youtube.com/watch?v=Czr6tE_a694&amp;t=20s", "Go to time")</f>
        <v/>
      </c>
    </row>
    <row r="740">
      <c r="A740">
        <f>HYPERLINK("https://www.youtube.com/watch?v=CNQsYnAavQc", "Video")</f>
        <v/>
      </c>
      <c r="B740" t="inlineStr">
        <is>
          <t>2:18</t>
        </is>
      </c>
      <c r="C740" t="inlineStr">
        <is>
          <t>there has to be a screwdriver here</t>
        </is>
      </c>
      <c r="D740">
        <f>HYPERLINK("https://www.youtube.com/watch?v=CNQsYnAavQc&amp;t=138s", "Go to time")</f>
        <v/>
      </c>
    </row>
    <row r="741">
      <c r="A741">
        <f>HYPERLINK("https://www.youtube.com/watch?v=g4FGgcwjlAk", "Video")</f>
        <v/>
      </c>
      <c r="B741" t="inlineStr">
        <is>
          <t>2:51</t>
        </is>
      </c>
      <c r="C741" t="inlineStr">
        <is>
          <t>driveway</t>
        </is>
      </c>
      <c r="D741">
        <f>HYPERLINK("https://www.youtube.com/watch?v=g4FGgcwjlAk&amp;t=171s", "Go to time")</f>
        <v/>
      </c>
    </row>
    <row r="742">
      <c r="A742">
        <f>HYPERLINK("https://www.youtube.com/watch?v=g4FGgcwjlAk", "Video")</f>
        <v/>
      </c>
      <c r="B742" t="inlineStr">
        <is>
          <t>3:20</t>
        </is>
      </c>
      <c r="C742" t="inlineStr">
        <is>
          <t>driveway but she crashed oh my gosh</t>
        </is>
      </c>
      <c r="D742">
        <f>HYPERLINK("https://www.youtube.com/watch?v=g4FGgcwjlAk&amp;t=200s", "Go to time")</f>
        <v/>
      </c>
    </row>
    <row r="743">
      <c r="A743">
        <f>HYPERLINK("https://www.youtube.com/watch?v=g4FGgcwjlAk", "Video")</f>
        <v/>
      </c>
      <c r="B743" t="inlineStr">
        <is>
          <t>3:51</t>
        </is>
      </c>
      <c r="C743" t="inlineStr">
        <is>
          <t>driver's okay let's get a closer</t>
        </is>
      </c>
      <c r="D743">
        <f>HYPERLINK("https://www.youtube.com/watch?v=g4FGgcwjlAk&amp;t=231s", "Go to time")</f>
        <v/>
      </c>
    </row>
    <row r="744">
      <c r="A744">
        <f>HYPERLINK("https://www.youtube.com/watch?v=87HAEkf_Li0", "Video")</f>
        <v/>
      </c>
      <c r="B744" t="inlineStr">
        <is>
          <t>0:41</t>
        </is>
      </c>
      <c r="C744" t="inlineStr">
        <is>
          <t>when you have the passion and the drive</t>
        </is>
      </c>
      <c r="D744">
        <f>HYPERLINK("https://www.youtube.com/watch?v=87HAEkf_Li0&amp;t=41s", "Go to time")</f>
        <v/>
      </c>
    </row>
    <row r="745">
      <c r="A745">
        <f>HYPERLINK("https://www.youtube.com/watch?v=LvuTfpHESF0", "Video")</f>
        <v/>
      </c>
      <c r="B745" t="inlineStr">
        <is>
          <t>32:05</t>
        </is>
      </c>
      <c r="C745" t="inlineStr">
        <is>
          <t>a star that one time my mom let me drive</t>
        </is>
      </c>
      <c r="D745">
        <f>HYPERLINK("https://www.youtube.com/watch?v=LvuTfpHESF0&amp;t=1925s", "Go to time")</f>
        <v/>
      </c>
    </row>
    <row r="746">
      <c r="A746">
        <f>HYPERLINK("https://www.youtube.com/watch?v=Kwice9X28v0", "Video")</f>
        <v/>
      </c>
      <c r="B746" t="inlineStr">
        <is>
          <t>0:43</t>
        </is>
      </c>
      <c r="C746" t="inlineStr">
        <is>
          <t>drive them mad but they still really</t>
        </is>
      </c>
      <c r="D746">
        <f>HYPERLINK("https://www.youtube.com/watch?v=Kwice9X28v0&amp;t=43s", "Go to time")</f>
        <v/>
      </c>
    </row>
    <row r="747">
      <c r="A747">
        <f>HYPERLINK("https://www.youtube.com/watch?v=5ueiMMd1en4", "Video")</f>
        <v/>
      </c>
      <c r="B747" t="inlineStr">
        <is>
          <t>6:43</t>
        </is>
      </c>
      <c r="C747" t="inlineStr">
        <is>
          <t>festival beta people drive tens of miles</t>
        </is>
      </c>
      <c r="D747">
        <f>HYPERLINK("https://www.youtube.com/watch?v=5ueiMMd1en4&amp;t=403s", "Go to time")</f>
        <v/>
      </c>
    </row>
    <row r="748">
      <c r="A748">
        <f>HYPERLINK("https://www.youtube.com/watch?v=qjbRhjfALPM", "Video")</f>
        <v/>
      </c>
      <c r="B748" t="inlineStr">
        <is>
          <t>1:37</t>
        </is>
      </c>
      <c r="C748" t="inlineStr">
        <is>
          <t>astronaut race car driver on doesn't</t>
        </is>
      </c>
      <c r="D748">
        <f>HYPERLINK("https://www.youtube.com/watch?v=qjbRhjfALPM&amp;t=97s", "Go to time")</f>
        <v/>
      </c>
    </row>
    <row r="749">
      <c r="A749">
        <f>HYPERLINK("https://www.youtube.com/watch?v=96MRktmAs5c", "Video")</f>
        <v/>
      </c>
      <c r="B749" t="inlineStr">
        <is>
          <t>20:08</t>
        </is>
      </c>
      <c r="C749" t="inlineStr">
        <is>
          <t>Sorry, it just popped
in my head on the drive over.</t>
        </is>
      </c>
      <c r="D749">
        <f>HYPERLINK("https://www.youtube.com/watch?v=96MRktmAs5c&amp;t=1208s", "Go to time")</f>
        <v/>
      </c>
    </row>
    <row r="750">
      <c r="A750">
        <f>HYPERLINK("https://www.youtube.com/watch?v=wPT74U4q4w0", "Video")</f>
        <v/>
      </c>
      <c r="B750" t="inlineStr">
        <is>
          <t>0:05</t>
        </is>
      </c>
      <c r="C750" t="inlineStr">
        <is>
          <t>they recently reopened that drive-in</t>
        </is>
      </c>
      <c r="D750">
        <f>HYPERLINK("https://www.youtube.com/watch?v=wPT74U4q4w0&amp;t=5s", "Go to time")</f>
        <v/>
      </c>
    </row>
    <row r="751">
      <c r="A751">
        <f>HYPERLINK("https://www.youtube.com/watch?v=V_Gakr2U2NI", "Video")</f>
        <v/>
      </c>
      <c r="B751" t="inlineStr">
        <is>
          <t>11:40</t>
        </is>
      </c>
      <c r="C751" t="inlineStr">
        <is>
          <t>the drive it takes...
it becomes an obsession.</t>
        </is>
      </c>
      <c r="D751">
        <f>HYPERLINK("https://www.youtube.com/watch?v=V_Gakr2U2NI&amp;t=700s", "Go to time")</f>
        <v/>
      </c>
    </row>
    <row r="752">
      <c r="A752">
        <f>HYPERLINK("https://www.youtube.com/watch?v=lTiZKackmlM", "Video")</f>
        <v/>
      </c>
      <c r="B752" t="inlineStr">
        <is>
          <t>1:26</t>
        </is>
      </c>
      <c r="C752" t="inlineStr">
        <is>
          <t>type of car does buzzy drive a hearse</t>
        </is>
      </c>
      <c r="D752">
        <f>HYPERLINK("https://www.youtube.com/watch?v=lTiZKackmlM&amp;t=86s", "Go to time")</f>
        <v/>
      </c>
    </row>
    <row r="753">
      <c r="A753">
        <f>HYPERLINK("https://www.youtube.com/watch?v=sou6UzaO48U", "Video")</f>
        <v/>
      </c>
      <c r="B753" t="inlineStr">
        <is>
          <t>0:03</t>
        </is>
      </c>
      <c r="C753" t="inlineStr">
        <is>
          <t>But did you see that driver?</t>
        </is>
      </c>
      <c r="D753">
        <f>HYPERLINK("https://www.youtube.com/watch?v=sou6UzaO48U&amp;t=3s", "Go to time")</f>
        <v/>
      </c>
    </row>
    <row r="754">
      <c r="A754">
        <f>HYPERLINK("https://www.youtube.com/watch?v=sou6UzaO48U", "Video")</f>
        <v/>
      </c>
      <c r="B754" t="inlineStr">
        <is>
          <t>0:21</t>
        </is>
      </c>
      <c r="C754" t="inlineStr">
        <is>
          <t>by humans who cannot drive?</t>
        </is>
      </c>
      <c r="D754">
        <f>HYPERLINK("https://www.youtube.com/watch?v=sou6UzaO48U&amp;t=21s", "Go to time")</f>
        <v/>
      </c>
    </row>
    <row r="755">
      <c r="A755">
        <f>HYPERLINK("https://www.youtube.com/watch?v=sou6UzaO48U", "Video")</f>
        <v/>
      </c>
      <c r="B755" t="inlineStr">
        <is>
          <t>0:47</t>
        </is>
      </c>
      <c r="C755" t="inlineStr">
        <is>
          <t>DRIVER: Go faster!</t>
        </is>
      </c>
      <c r="D755">
        <f>HYPERLINK("https://www.youtube.com/watch?v=sou6UzaO48U&amp;t=47s", "Go to time")</f>
        <v/>
      </c>
    </row>
    <row r="756">
      <c r="A756">
        <f>HYPERLINK("https://www.youtube.com/watch?v=AFpAL33Shfs", "Video")</f>
        <v/>
      </c>
      <c r="B756" t="inlineStr">
        <is>
          <t>19:14</t>
        </is>
      </c>
      <c r="C756" t="inlineStr">
        <is>
          <t>before it washes
down the driveway.</t>
        </is>
      </c>
      <c r="D756">
        <f>HYPERLINK("https://www.youtube.com/watch?v=AFpAL33Shfs&amp;t=1154s", "Go to time")</f>
        <v/>
      </c>
    </row>
    <row r="757">
      <c r="A757">
        <f>HYPERLINK("https://www.youtube.com/watch?v=jerMwDA_PMY", "Video")</f>
        <v/>
      </c>
      <c r="B757" t="inlineStr">
        <is>
          <t>0:03</t>
        </is>
      </c>
      <c r="C757" t="inlineStr">
        <is>
          <t>that driver's test</t>
        </is>
      </c>
      <c r="D757">
        <f>HYPERLINK("https://www.youtube.com/watch?v=jerMwDA_PMY&amp;t=3s", "Go to time")</f>
        <v/>
      </c>
    </row>
    <row r="758">
      <c r="A758">
        <f>HYPERLINK("https://www.youtube.com/watch?v=jerMwDA_PMY", "Video")</f>
        <v/>
      </c>
      <c r="B758" t="inlineStr">
        <is>
          <t>0:49</t>
        </is>
      </c>
      <c r="C758" t="inlineStr">
        <is>
          <t>that drivers test and you'll be learning</t>
        </is>
      </c>
      <c r="D758">
        <f>HYPERLINK("https://www.youtube.com/watch?v=jerMwDA_PMY&amp;t=49s", "Go to time")</f>
        <v/>
      </c>
    </row>
    <row r="759">
      <c r="A759">
        <f>HYPERLINK("https://www.youtube.com/watch?v=jerMwDA_PMY", "Video")</f>
        <v/>
      </c>
      <c r="B759" t="inlineStr">
        <is>
          <t>1:00</t>
        </is>
      </c>
      <c r="C759" t="inlineStr">
        <is>
          <t>know how to drive and I sure as heck</t>
        </is>
      </c>
      <c r="D759">
        <f>HYPERLINK("https://www.youtube.com/watch?v=jerMwDA_PMY&amp;t=60s", "Go to time")</f>
        <v/>
      </c>
    </row>
    <row r="760">
      <c r="A760">
        <f>HYPERLINK("https://www.youtube.com/watch?v=jerMwDA_PMY", "Video")</f>
        <v/>
      </c>
      <c r="B760" t="inlineStr">
        <is>
          <t>3:42</t>
        </is>
      </c>
      <c r="C760" t="inlineStr">
        <is>
          <t>just have to take the wheel and drive no</t>
        </is>
      </c>
      <c r="D760">
        <f>HYPERLINK("https://www.youtube.com/watch?v=jerMwDA_PMY&amp;t=222s", "Go to time")</f>
        <v/>
      </c>
    </row>
    <row r="761">
      <c r="A761">
        <f>HYPERLINK("https://www.youtube.com/watch?v=vmy5afLiIVc", "Video")</f>
        <v/>
      </c>
      <c r="B761" t="inlineStr">
        <is>
          <t>0:00</t>
        </is>
      </c>
      <c r="C761" t="inlineStr">
        <is>
          <t>remax overdrive mode now</t>
        </is>
      </c>
      <c r="D761">
        <f>HYPERLINK("https://www.youtube.com/watch?v=vmy5afLiIVc&amp;t=0s", "Go to time")</f>
        <v/>
      </c>
    </row>
    <row r="762">
      <c r="A762">
        <f>HYPERLINK("https://www.youtube.com/watch?v=6rRIF01z-t0", "Video")</f>
        <v/>
      </c>
      <c r="B762" t="inlineStr">
        <is>
          <t>20:00</t>
        </is>
      </c>
      <c r="C762" t="inlineStr">
        <is>
          <t>driven right through it</t>
        </is>
      </c>
      <c r="D762">
        <f>HYPERLINK("https://www.youtube.com/watch?v=6rRIF01z-t0&amp;t=1200s", "Go to time")</f>
        <v/>
      </c>
    </row>
    <row r="763">
      <c r="A763">
        <f>HYPERLINK("https://www.youtube.com/watch?v=nFCbUzESoSQ", "Video")</f>
        <v/>
      </c>
      <c r="B763" t="inlineStr">
        <is>
          <t>0:29</t>
        </is>
      </c>
      <c r="C763" t="inlineStr">
        <is>
          <t>drive through like haunted things where</t>
        </is>
      </c>
      <c r="D763">
        <f>HYPERLINK("https://www.youtube.com/watch?v=nFCbUzESoSQ&amp;t=29s", "Go to time")</f>
        <v/>
      </c>
    </row>
    <row r="764">
      <c r="A764">
        <f>HYPERLINK("https://www.youtube.com/watch?v=3mG8Yzu5kRo", "Video")</f>
        <v/>
      </c>
      <c r="B764" t="inlineStr">
        <is>
          <t>0:30</t>
        </is>
      </c>
      <c r="C764" t="inlineStr">
        <is>
          <t>maybe my dad will let me drive no chance</t>
        </is>
      </c>
      <c r="D764">
        <f>HYPERLINK("https://www.youtube.com/watch?v=3mG8Yzu5kRo&amp;t=30s", "Go to time")</f>
        <v/>
      </c>
    </row>
    <row r="765">
      <c r="A765">
        <f>HYPERLINK("https://www.youtube.com/watch?v=WBiRbqfosuk", "Video")</f>
        <v/>
      </c>
      <c r="B765" t="inlineStr">
        <is>
          <t>4:07</t>
        </is>
      </c>
      <c r="C765" t="inlineStr">
        <is>
          <t>well you might be able to drive your car</t>
        </is>
      </c>
      <c r="D765">
        <f>HYPERLINK("https://www.youtube.com/watch?v=WBiRbqfosuk&amp;t=247s", "Go to time")</f>
        <v/>
      </c>
    </row>
    <row r="766">
      <c r="A766">
        <f>HYPERLINK("https://www.youtube.com/watch?v=2qRFYkc6rLA", "Video")</f>
        <v/>
      </c>
      <c r="B766" t="inlineStr">
        <is>
          <t>1:24</t>
        </is>
      </c>
      <c r="C766" t="inlineStr">
        <is>
          <t>I'm talking about the driveing theater</t>
        </is>
      </c>
      <c r="D766">
        <f>HYPERLINK("https://www.youtube.com/watch?v=2qRFYkc6rLA&amp;t=84s", "Go to time")</f>
        <v/>
      </c>
    </row>
    <row r="767">
      <c r="A767">
        <f>HYPERLINK("https://www.youtube.com/watch?v=U9i-Kk8GjPU", "Video")</f>
        <v/>
      </c>
      <c r="B767" t="inlineStr">
        <is>
          <t>3:32</t>
        </is>
      </c>
      <c r="C767" t="inlineStr">
        <is>
          <t>DRIVER: Dear passengers,
there's a crack in the road.</t>
        </is>
      </c>
      <c r="D767">
        <f>HYPERLINK("https://www.youtube.com/watch?v=U9i-Kk8GjPU&amp;t=212s", "Go to time")</f>
        <v/>
      </c>
    </row>
    <row r="768">
      <c r="A768">
        <f>HYPERLINK("https://www.youtube.com/watch?v=ZBhogj9qHAg", "Video")</f>
        <v/>
      </c>
      <c r="B768" t="inlineStr">
        <is>
          <t>1:02</t>
        </is>
      </c>
      <c r="C768" t="inlineStr">
        <is>
          <t>to people who drive me crazy.</t>
        </is>
      </c>
      <c r="D768">
        <f>HYPERLINK("https://www.youtube.com/watch?v=ZBhogj9qHAg&amp;t=62s", "Go to time")</f>
        <v/>
      </c>
    </row>
    <row r="769">
      <c r="A769">
        <f>HYPERLINK("https://www.youtube.com/watch?v=lmznCWTddf4", "Video")</f>
        <v/>
      </c>
      <c r="B769" t="inlineStr">
        <is>
          <t>3:06</t>
        </is>
      </c>
      <c r="C769" t="inlineStr">
        <is>
          <t>- ( clicks )
- ♪ You got the drive ♪</t>
        </is>
      </c>
      <c r="D769">
        <f>HYPERLINK("https://www.youtube.com/watch?v=lmznCWTddf4&amp;t=186s", "Go to time")</f>
        <v/>
      </c>
    </row>
    <row r="770">
      <c r="A770">
        <f>HYPERLINK("https://www.youtube.com/watch?v=i2KPhkdJLY4", "Video")</f>
        <v/>
      </c>
      <c r="B770" t="inlineStr">
        <is>
          <t>14:46</t>
        </is>
      </c>
      <c r="C770" t="inlineStr">
        <is>
          <t>totally cool and he can drive with a</t>
        </is>
      </c>
      <c r="D770">
        <f>HYPERLINK("https://www.youtube.com/watch?v=i2KPhkdJLY4&amp;t=886s", "Go to time")</f>
        <v/>
      </c>
    </row>
    <row r="771">
      <c r="A771">
        <f>HYPERLINK("https://www.youtube.com/watch?v=jSyxZkHtkj0", "Video")</f>
        <v/>
      </c>
      <c r="B771" t="inlineStr">
        <is>
          <t>0:02</t>
        </is>
      </c>
      <c r="C771" t="inlineStr">
        <is>
          <t>the day i turned 16 i got my driver's</t>
        </is>
      </c>
      <c r="D771">
        <f>HYPERLINK("https://www.youtube.com/watch?v=jSyxZkHtkj0&amp;t=2s", "Go to time")</f>
        <v/>
      </c>
    </row>
    <row r="772">
      <c r="A772">
        <f>HYPERLINK("https://www.youtube.com/watch?v=jSyxZkHtkj0", "Video")</f>
        <v/>
      </c>
      <c r="B772" t="inlineStr">
        <is>
          <t>2:47</t>
        </is>
      </c>
      <c r="C772" t="inlineStr">
        <is>
          <t>the day i turned 16 i got my driver's</t>
        </is>
      </c>
      <c r="D772">
        <f>HYPERLINK("https://www.youtube.com/watch?v=jSyxZkHtkj0&amp;t=167s", "Go to time")</f>
        <v/>
      </c>
    </row>
    <row r="773">
      <c r="A773">
        <f>HYPERLINK("https://www.youtube.com/watch?v=Jf6IokqDsUI", "Video")</f>
        <v/>
      </c>
      <c r="B773" t="inlineStr">
        <is>
          <t>49:40</t>
        </is>
      </c>
      <c r="C773" t="inlineStr">
        <is>
          <t>driveway</t>
        </is>
      </c>
      <c r="D773">
        <f>HYPERLINK("https://www.youtube.com/watch?v=Jf6IokqDsUI&amp;t=2980s", "Go to time")</f>
        <v/>
      </c>
    </row>
    <row r="774">
      <c r="A774">
        <f>HYPERLINK("https://www.youtube.com/watch?v=Jf6IokqDsUI", "Video")</f>
        <v/>
      </c>
      <c r="B774" t="inlineStr">
        <is>
          <t>50:08</t>
        </is>
      </c>
      <c r="C774" t="inlineStr">
        <is>
          <t>to help the pizza girl find our driveway</t>
        </is>
      </c>
      <c r="D774">
        <f>HYPERLINK("https://www.youtube.com/watch?v=Jf6IokqDsUI&amp;t=3008s", "Go to time")</f>
        <v/>
      </c>
    </row>
    <row r="775">
      <c r="A775">
        <f>HYPERLINK("https://www.youtube.com/watch?v=Jf6IokqDsUI", "Video")</f>
        <v/>
      </c>
      <c r="B775" t="inlineStr">
        <is>
          <t>50:37</t>
        </is>
      </c>
      <c r="C775" t="inlineStr">
        <is>
          <t>look it's the car hope the driver's okay</t>
        </is>
      </c>
      <c r="D775">
        <f>HYPERLINK("https://www.youtube.com/watch?v=Jf6IokqDsUI&amp;t=3037s", "Go to time")</f>
        <v/>
      </c>
    </row>
    <row r="776">
      <c r="A776">
        <f>HYPERLINK("https://www.youtube.com/watch?v=Jf6IokqDsUI", "Video")</f>
        <v/>
      </c>
      <c r="B776" t="inlineStr">
        <is>
          <t>60:59</t>
        </is>
      </c>
      <c r="C776" t="inlineStr">
        <is>
          <t>drive moly past my dad</t>
        </is>
      </c>
      <c r="D776">
        <f>HYPERLINK("https://www.youtube.com/watch?v=Jf6IokqDsUI&amp;t=3659s", "Go to time")</f>
        <v/>
      </c>
    </row>
    <row r="777">
      <c r="A777">
        <f>HYPERLINK("https://www.youtube.com/watch?v=Jf6IokqDsUI", "Video")</f>
        <v/>
      </c>
      <c r="B777" t="inlineStr">
        <is>
          <t>66:47</t>
        </is>
      </c>
      <c r="C777" t="inlineStr">
        <is>
          <t>love y'all drive safe</t>
        </is>
      </c>
      <c r="D777">
        <f>HYPERLINK("https://www.youtube.com/watch?v=Jf6IokqDsUI&amp;t=4007s", "Go to time")</f>
        <v/>
      </c>
    </row>
    <row r="778">
      <c r="A778">
        <f>HYPERLINK("https://www.youtube.com/watch?v=liZM-afUIUk", "Video")</f>
        <v/>
      </c>
      <c r="B778" t="inlineStr">
        <is>
          <t>15:55</t>
        </is>
      </c>
      <c r="C778" t="inlineStr">
        <is>
          <t>it up kick this thing in overdrive when</t>
        </is>
      </c>
      <c r="D778">
        <f>HYPERLINK("https://www.youtube.com/watch?v=liZM-afUIUk&amp;t=955s", "Go to time")</f>
        <v/>
      </c>
    </row>
    <row r="779">
      <c r="A779">
        <f>HYPERLINK("https://www.youtube.com/watch?v=liZM-afUIUk", "Video")</f>
        <v/>
      </c>
      <c r="B779" t="inlineStr">
        <is>
          <t>17:06</t>
        </is>
      </c>
      <c r="C779" t="inlineStr">
        <is>
          <t>up over drive when you see them i can</t>
        </is>
      </c>
      <c r="D779">
        <f>HYPERLINK("https://www.youtube.com/watch?v=liZM-afUIUk&amp;t=1026s", "Go to time")</f>
        <v/>
      </c>
    </row>
    <row r="780">
      <c r="A780">
        <f>HYPERLINK("https://www.youtube.com/watch?v=CD3wgviBAAA", "Video")</f>
        <v/>
      </c>
      <c r="B780" t="inlineStr">
        <is>
          <t>0:29</t>
        </is>
      </c>
      <c r="C780" t="inlineStr">
        <is>
          <t>the charity drive carnival this saturday</t>
        </is>
      </c>
      <c r="D780">
        <f>HYPERLINK("https://www.youtube.com/watch?v=CD3wgviBAAA&amp;t=29s", "Go to time")</f>
        <v/>
      </c>
    </row>
    <row r="781">
      <c r="A781">
        <f>HYPERLINK("https://www.youtube.com/watch?v=MNyefF3q6xE", "Video")</f>
        <v/>
      </c>
      <c r="B781" t="inlineStr">
        <is>
          <t>1:44</t>
        </is>
      </c>
      <c r="C781" t="inlineStr">
        <is>
          <t>I usually only speak to
when their car is
blocking my driveway.</t>
        </is>
      </c>
      <c r="D781">
        <f>HYPERLINK("https://www.youtube.com/watch?v=MNyefF3q6xE&amp;t=104s", "Go to time")</f>
        <v/>
      </c>
    </row>
    <row r="782">
      <c r="A782">
        <f>HYPERLINK("https://www.youtube.com/watch?v=O-8u24Y_xGQ", "Video")</f>
        <v/>
      </c>
      <c r="B782" t="inlineStr">
        <is>
          <t>1:52</t>
        </is>
      </c>
      <c r="C782" t="inlineStr">
        <is>
          <t>for a cruise we can't drive we're 12 Jam</t>
        </is>
      </c>
      <c r="D782">
        <f>HYPERLINK("https://www.youtube.com/watch?v=O-8u24Y_xGQ&amp;t=112s", "Go to time")</f>
        <v/>
      </c>
    </row>
    <row r="783">
      <c r="A783">
        <f>HYPERLINK("https://www.youtube.com/watch?v=Mrsq1VPxNa4", "Video")</f>
        <v/>
      </c>
      <c r="B783" t="inlineStr">
        <is>
          <t>9:50</t>
        </is>
      </c>
      <c r="C783" t="inlineStr">
        <is>
          <t>you got the drive your passion's intense</t>
        </is>
      </c>
      <c r="D783">
        <f>HYPERLINK("https://www.youtube.com/watch?v=Mrsq1VPxNa4&amp;t=590s", "Go to time")</f>
        <v/>
      </c>
    </row>
    <row r="784">
      <c r="A784">
        <f>HYPERLINK("https://www.youtube.com/watch?v=1AgAmbhi5pg", "Video")</f>
        <v/>
      </c>
      <c r="B784" t="inlineStr">
        <is>
          <t>0:40</t>
        </is>
      </c>
      <c r="C784" t="inlineStr">
        <is>
          <t>he had to drive us around just so we</t>
        </is>
      </c>
      <c r="D784">
        <f>HYPERLINK("https://www.youtube.com/watch?v=1AgAmbhi5pg&amp;t=40s", "Go to time")</f>
        <v/>
      </c>
    </row>
    <row r="785">
      <c r="A785">
        <f>HYPERLINK("https://www.youtube.com/watch?v=1AgAmbhi5pg", "Video")</f>
        <v/>
      </c>
      <c r="B785" t="inlineStr">
        <is>
          <t>0:41</t>
        </is>
      </c>
      <c r="C785" t="inlineStr">
        <is>
          <t>could trick-or-treat we drive for miles</t>
        </is>
      </c>
      <c r="D785">
        <f>HYPERLINK("https://www.youtube.com/watch?v=1AgAmbhi5pg&amp;t=41s", "Go to time")</f>
        <v/>
      </c>
    </row>
    <row r="786">
      <c r="A786">
        <f>HYPERLINK("https://www.youtube.com/watch?v=F5aGZG9kRtg", "Video")</f>
        <v/>
      </c>
      <c r="B786" t="inlineStr">
        <is>
          <t>1:16</t>
        </is>
      </c>
      <c r="C786" t="inlineStr">
        <is>
          <t>My friends either get driven
away by the younger kids...</t>
        </is>
      </c>
      <c r="D786">
        <f>HYPERLINK("https://www.youtube.com/watch?v=F5aGZG9kRtg&amp;t=76s", "Go to time")</f>
        <v/>
      </c>
    </row>
    <row r="787">
      <c r="A787">
        <f>HYPERLINK("https://www.youtube.com/watch?v=F5aGZG9kRtg", "Video")</f>
        <v/>
      </c>
      <c r="B787" t="inlineStr">
        <is>
          <t>9:38</t>
        </is>
      </c>
      <c r="C787" t="inlineStr">
        <is>
          <t>They can't drive
yet, can they?</t>
        </is>
      </c>
      <c r="D787">
        <f>HYPERLINK("https://www.youtube.com/watch?v=F5aGZG9kRtg&amp;t=578s", "Go to time")</f>
        <v/>
      </c>
    </row>
    <row r="788">
      <c r="A788">
        <f>HYPERLINK("https://www.youtube.com/watch?v=F5aGZG9kRtg", "Video")</f>
        <v/>
      </c>
      <c r="B788" t="inlineStr">
        <is>
          <t>11:14</t>
        </is>
      </c>
      <c r="C788" t="inlineStr">
        <is>
          <t>No. These are to drive
the neighbors' dogs crazy.</t>
        </is>
      </c>
      <c r="D788">
        <f>HYPERLINK("https://www.youtube.com/watch?v=F5aGZG9kRtg&amp;t=674s", "Go to time")</f>
        <v/>
      </c>
    </row>
    <row r="789">
      <c r="A789">
        <f>HYPERLINK("https://www.youtube.com/watch?v=F5aGZG9kRtg", "Video")</f>
        <v/>
      </c>
      <c r="B789" t="inlineStr">
        <is>
          <t>20:55</t>
        </is>
      </c>
      <c r="C789" t="inlineStr">
        <is>
          <t>than that dead doll
on the Goldsmiths' driveway,</t>
        </is>
      </c>
      <c r="D789">
        <f>HYPERLINK("https://www.youtube.com/watch?v=F5aGZG9kRtg&amp;t=1255s", "Go to time")</f>
        <v/>
      </c>
    </row>
    <row r="790">
      <c r="A790">
        <f>HYPERLINK("https://www.youtube.com/watch?v=PmqQyrycpmE", "Video")</f>
        <v/>
      </c>
      <c r="B790" t="inlineStr">
        <is>
          <t>0:31</t>
        </is>
      </c>
      <c r="C790" t="inlineStr">
        <is>
          <t>drive me straight there and then you</t>
        </is>
      </c>
      <c r="D790">
        <f>HYPERLINK("https://www.youtube.com/watch?v=PmqQyrycpmE&amp;t=31s", "Go to time")</f>
        <v/>
      </c>
    </row>
    <row r="791">
      <c r="A791">
        <f>HYPERLINK("https://www.youtube.com/watch?v=bX2KHWpM8UQ", "Video")</f>
        <v/>
      </c>
      <c r="B791" t="inlineStr">
        <is>
          <t>20:13</t>
        </is>
      </c>
      <c r="C791" t="inlineStr">
        <is>
          <t>i put some music on this hard drive</t>
        </is>
      </c>
      <c r="D791">
        <f>HYPERLINK("https://www.youtube.com/watch?v=bX2KHWpM8UQ&amp;t=1213s", "Go to time")</f>
        <v/>
      </c>
    </row>
    <row r="792">
      <c r="A792">
        <f>HYPERLINK("https://www.youtube.com/watch?v=q8aG8cVx-oI", "Video")</f>
        <v/>
      </c>
      <c r="B792" t="inlineStr">
        <is>
          <t>45:25</t>
        </is>
      </c>
      <c r="C792" t="inlineStr">
        <is>
          <t>seen a motorcycle drive over his head</t>
        </is>
      </c>
      <c r="D792">
        <f>HYPERLINK("https://www.youtube.com/watch?v=q8aG8cVx-oI&amp;t=2725s", "Go to time")</f>
        <v/>
      </c>
    </row>
    <row r="793">
      <c r="A793">
        <f>HYPERLINK("https://www.youtube.com/watch?v=5hAD7LSW4RA", "Video")</f>
        <v/>
      </c>
      <c r="B793" t="inlineStr">
        <is>
          <t>0:21</t>
        </is>
      </c>
      <c r="C793" t="inlineStr">
        <is>
          <t>load up the rest of the kids,
drive two hours in traffic</t>
        </is>
      </c>
      <c r="D793">
        <f>HYPERLINK("https://www.youtube.com/watch?v=5hAD7LSW4RA&amp;t=21s", "Go to time")</f>
        <v/>
      </c>
    </row>
    <row r="794">
      <c r="A794">
        <f>HYPERLINK("https://www.youtube.com/watch?v=5hAD7LSW4RA", "Video")</f>
        <v/>
      </c>
      <c r="B794" t="inlineStr">
        <is>
          <t>0:31</t>
        </is>
      </c>
      <c r="C794" t="inlineStr">
        <is>
          <t>Not being able to drive myself
is driving myself crazy.</t>
        </is>
      </c>
      <c r="D794">
        <f>HYPERLINK("https://www.youtube.com/watch?v=5hAD7LSW4RA&amp;t=31s", "Go to time")</f>
        <v/>
      </c>
    </row>
    <row r="795">
      <c r="A795">
        <f>HYPERLINK("https://www.youtube.com/watch?v=5hAD7LSW4RA", "Video")</f>
        <v/>
      </c>
      <c r="B795" t="inlineStr">
        <is>
          <t>1:20</t>
        </is>
      </c>
      <c r="C795" t="inlineStr">
        <is>
          <t>And if you have
your driver's license,</t>
        </is>
      </c>
      <c r="D795">
        <f>HYPERLINK("https://www.youtube.com/watch?v=5hAD7LSW4RA&amp;t=80s", "Go to time")</f>
        <v/>
      </c>
    </row>
    <row r="796">
      <c r="A796">
        <f>HYPERLINK("https://www.youtube.com/watch?v=5hAD7LSW4RA", "Video")</f>
        <v/>
      </c>
      <c r="B796" t="inlineStr">
        <is>
          <t>2:34</t>
        </is>
      </c>
      <c r="C796" t="inlineStr">
        <is>
          <t>Sorry, drivers of America.</t>
        </is>
      </c>
      <c r="D796">
        <f>HYPERLINK("https://www.youtube.com/watch?v=5hAD7LSW4RA&amp;t=154s", "Go to time")</f>
        <v/>
      </c>
    </row>
    <row r="797">
      <c r="A797">
        <f>HYPERLINK("https://www.youtube.com/watch?v=5hAD7LSW4RA", "Video")</f>
        <v/>
      </c>
      <c r="B797" t="inlineStr">
        <is>
          <t>3:49</t>
        </is>
      </c>
      <c r="C797" t="inlineStr">
        <is>
          <t>No. Rachel's going to
drive me to Boston.</t>
        </is>
      </c>
      <c r="D797">
        <f>HYPERLINK("https://www.youtube.com/watch?v=5hAD7LSW4RA&amp;t=229s", "Go to time")</f>
        <v/>
      </c>
    </row>
    <row r="798">
      <c r="A798">
        <f>HYPERLINK("https://www.youtube.com/watch?v=5hAD7LSW4RA", "Video")</f>
        <v/>
      </c>
      <c r="B798" t="inlineStr">
        <is>
          <t>4:01</t>
        </is>
      </c>
      <c r="C798" t="inlineStr">
        <is>
          <t>- Rachel doesn't
have her driver's license.
- Yet.</t>
        </is>
      </c>
      <c r="D798">
        <f>HYPERLINK("https://www.youtube.com/watch?v=5hAD7LSW4RA&amp;t=241s", "Go to time")</f>
        <v/>
      </c>
    </row>
    <row r="799">
      <c r="A799">
        <f>HYPERLINK("https://www.youtube.com/watch?v=5hAD7LSW4RA", "Video")</f>
        <v/>
      </c>
      <c r="B799" t="inlineStr">
        <is>
          <t>4:04</t>
        </is>
      </c>
      <c r="C799" t="inlineStr">
        <is>
          <t>I have an appointment
for a driver's test tomorrow,</t>
        </is>
      </c>
      <c r="D799">
        <f>HYPERLINK("https://www.youtube.com/watch?v=5hAD7LSW4RA&amp;t=244s", "Go to time")</f>
        <v/>
      </c>
    </row>
    <row r="800">
      <c r="A800">
        <f>HYPERLINK("https://www.youtube.com/watch?v=5hAD7LSW4RA", "Video")</f>
        <v/>
      </c>
      <c r="B800" t="inlineStr">
        <is>
          <t>7:08</t>
        </is>
      </c>
      <c r="C800" t="inlineStr">
        <is>
          <t>Wow. If this was
a real driver's test, you...</t>
        </is>
      </c>
      <c r="D800">
        <f>HYPERLINK("https://www.youtube.com/watch?v=5hAD7LSW4RA&amp;t=428s", "Go to time")</f>
        <v/>
      </c>
    </row>
    <row r="801">
      <c r="A801">
        <f>HYPERLINK("https://www.youtube.com/watch?v=5hAD7LSW4RA", "Video")</f>
        <v/>
      </c>
      <c r="B801" t="inlineStr">
        <is>
          <t>16:16</t>
        </is>
      </c>
      <c r="C801" t="inlineStr">
        <is>
          <t>You saw how good
of a driver I was.</t>
        </is>
      </c>
      <c r="D801">
        <f>HYPERLINK("https://www.youtube.com/watch?v=5hAD7LSW4RA&amp;t=976s", "Go to time")</f>
        <v/>
      </c>
    </row>
    <row r="802">
      <c r="A802">
        <f>HYPERLINK("https://www.youtube.com/watch?v=5hAD7LSW4RA", "Video")</f>
        <v/>
      </c>
      <c r="B802" t="inlineStr">
        <is>
          <t>17:01</t>
        </is>
      </c>
      <c r="C802" t="inlineStr">
        <is>
          <t>I don't see her
passing her driver's test
the first dozen times.</t>
        </is>
      </c>
      <c r="D802">
        <f>HYPERLINK("https://www.youtube.com/watch?v=5hAD7LSW4RA&amp;t=1021s", "Go to time")</f>
        <v/>
      </c>
    </row>
    <row r="803">
      <c r="A803">
        <f>HYPERLINK("https://www.youtube.com/watch?v=KfCX4uj2l3Q", "Video")</f>
        <v/>
      </c>
      <c r="B803" t="inlineStr">
        <is>
          <t>8:18</t>
        </is>
      </c>
      <c r="C803" t="inlineStr">
        <is>
          <t>drive three hours to find you horsing</t>
        </is>
      </c>
      <c r="D803">
        <f>HYPERLINK("https://www.youtube.com/watch?v=KfCX4uj2l3Q&amp;t=498s", "Go to time")</f>
        <v/>
      </c>
    </row>
    <row r="804">
      <c r="A804">
        <f>HYPERLINK("https://www.youtube.com/watch?v=MO9PCTFJiRs", "Video")</f>
        <v/>
      </c>
      <c r="B804" t="inlineStr">
        <is>
          <t>7:41</t>
        </is>
      </c>
      <c r="C804" t="inlineStr">
        <is>
          <t>within ten miles
of where I drive.</t>
        </is>
      </c>
      <c r="D804">
        <f>HYPERLINK("https://www.youtube.com/watch?v=MO9PCTFJiRs&amp;t=461s", "Go to time")</f>
        <v/>
      </c>
    </row>
    <row r="805">
      <c r="A805">
        <f>HYPERLINK("https://www.youtube.com/watch?v=iGbudQ86NLg", "Video")</f>
        <v/>
      </c>
      <c r="B805" t="inlineStr">
        <is>
          <t>0:46</t>
        </is>
      </c>
      <c r="C805" t="inlineStr">
        <is>
          <t>sweetie want to drive yes no come on I</t>
        </is>
      </c>
      <c r="D805">
        <f>HYPERLINK("https://www.youtube.com/watch?v=iGbudQ86NLg&amp;t=46s", "Go to time")</f>
        <v/>
      </c>
    </row>
    <row r="806">
      <c r="A806">
        <f>HYPERLINK("https://www.youtube.com/watch?v=iGbudQ86NLg", "Video")</f>
        <v/>
      </c>
      <c r="B806" t="inlineStr">
        <is>
          <t>0:55</t>
        </is>
      </c>
      <c r="C806" t="inlineStr">
        <is>
          <t>Abby when a total stranger drives up to</t>
        </is>
      </c>
      <c r="D806">
        <f>HYPERLINK("https://www.youtube.com/watch?v=iGbudQ86NLg&amp;t=55s", "Go to time")</f>
        <v/>
      </c>
    </row>
    <row r="807">
      <c r="A807">
        <f>HYPERLINK("https://www.youtube.com/watch?v=iGbudQ86NLg", "Video")</f>
        <v/>
      </c>
      <c r="B807" t="inlineStr">
        <is>
          <t>1:08</t>
        </is>
      </c>
      <c r="C807" t="inlineStr">
        <is>
          <t>because you won't have a driver's</t>
        </is>
      </c>
      <c r="D807">
        <f>HYPERLINK("https://www.youtube.com/watch?v=iGbudQ86NLg&amp;t=68s", "Go to time")</f>
        <v/>
      </c>
    </row>
    <row r="808">
      <c r="A808">
        <f>HYPERLINK("https://www.youtube.com/watch?v=iGbudQ86NLg", "Video")</f>
        <v/>
      </c>
      <c r="B808" t="inlineStr">
        <is>
          <t>1:11</t>
        </is>
      </c>
      <c r="C808" t="inlineStr">
        <is>
          <t>school good point I'll drive you two get</t>
        </is>
      </c>
      <c r="D808">
        <f>HYPERLINK("https://www.youtube.com/watch?v=iGbudQ86NLg&amp;t=71s", "Go to time")</f>
        <v/>
      </c>
    </row>
    <row r="809">
      <c r="A809">
        <f>HYPERLINK("https://www.youtube.com/watch?v=rjif10BM4c8", "Video")</f>
        <v/>
      </c>
      <c r="B809" t="inlineStr">
        <is>
          <t>1:00</t>
        </is>
      </c>
      <c r="C809" t="inlineStr">
        <is>
          <t>you know that pose drives me crazy</t>
        </is>
      </c>
      <c r="D809">
        <f>HYPERLINK("https://www.youtube.com/watch?v=rjif10BM4c8&amp;t=60s", "Go to time")</f>
        <v/>
      </c>
    </row>
    <row r="810">
      <c r="A810">
        <f>HYPERLINK("https://www.youtube.com/watch?v=rjif10BM4c8", "Video")</f>
        <v/>
      </c>
      <c r="B810" t="inlineStr">
        <is>
          <t>3:32</t>
        </is>
      </c>
      <c r="C810" t="inlineStr">
        <is>
          <t>know that pose drives me crazy</t>
        </is>
      </c>
      <c r="D810">
        <f>HYPERLINK("https://www.youtube.com/watch?v=rjif10BM4c8&amp;t=212s", "Go to time")</f>
        <v/>
      </c>
    </row>
    <row r="811">
      <c r="A811">
        <f>HYPERLINK("https://www.youtube.com/watch?v=rjif10BM4c8", "Video")</f>
        <v/>
      </c>
      <c r="B811" t="inlineStr">
        <is>
          <t>3:50</t>
        </is>
      </c>
      <c r="C811" t="inlineStr">
        <is>
          <t>drives me crazy</t>
        </is>
      </c>
      <c r="D811">
        <f>HYPERLINK("https://www.youtube.com/watch?v=rjif10BM4c8&amp;t=230s", "Go to time")</f>
        <v/>
      </c>
    </row>
    <row r="812">
      <c r="A812">
        <f>HYPERLINK("https://www.youtube.com/watch?v=jx0cPKwzuwg", "Video")</f>
        <v/>
      </c>
      <c r="B812" t="inlineStr">
        <is>
          <t>14:51</t>
        </is>
      </c>
      <c r="C812" t="inlineStr">
        <is>
          <t>to the movies or drive-through seriously</t>
        </is>
      </c>
      <c r="D812">
        <f>HYPERLINK("https://www.youtube.com/watch?v=jx0cPKwzuwg&amp;t=891s", "Go to time")</f>
        <v/>
      </c>
    </row>
    <row r="813">
      <c r="A813">
        <f>HYPERLINK("https://www.youtube.com/watch?v=jx0cPKwzuwg", "Video")</f>
        <v/>
      </c>
      <c r="B813" t="inlineStr">
        <is>
          <t>14:54</t>
        </is>
      </c>
      <c r="C813" t="inlineStr">
        <is>
          <t>you've never been to a drive-through</t>
        </is>
      </c>
      <c r="D813">
        <f>HYPERLINK("https://www.youtube.com/watch?v=jx0cPKwzuwg&amp;t=894s", "Go to time")</f>
        <v/>
      </c>
    </row>
    <row r="814">
      <c r="A814">
        <f>HYPERLINK("https://www.youtube.com/watch?v=jx0cPKwzuwg", "Video")</f>
        <v/>
      </c>
      <c r="B814" t="inlineStr">
        <is>
          <t>14:56</t>
        </is>
      </c>
      <c r="C814" t="inlineStr">
        <is>
          <t>that's messed up man drive-through's</t>
        </is>
      </c>
      <c r="D814">
        <f>HYPERLINK("https://www.youtube.com/watch?v=jx0cPKwzuwg&amp;t=896s", "Go to time")</f>
        <v/>
      </c>
    </row>
    <row r="815">
      <c r="A815">
        <f>HYPERLINK("https://www.youtube.com/watch?v=jx0cPKwzuwg", "Video")</f>
        <v/>
      </c>
      <c r="B815" t="inlineStr">
        <is>
          <t>21:18</t>
        </is>
      </c>
      <c r="C815" t="inlineStr">
        <is>
          <t>could pick up some drive-through on the</t>
        </is>
      </c>
      <c r="D815">
        <f>HYPERLINK("https://www.youtube.com/watch?v=jx0cPKwzuwg&amp;t=1278s", "Go to time")</f>
        <v/>
      </c>
    </row>
    <row r="816">
      <c r="A816">
        <f>HYPERLINK("https://www.youtube.com/watch?v=AuzSGeHal9Y", "Video")</f>
        <v/>
      </c>
      <c r="B816" t="inlineStr">
        <is>
          <t>3:04</t>
        </is>
      </c>
      <c r="C816" t="inlineStr">
        <is>
          <t>driver they came out of nowhere actually</t>
        </is>
      </c>
      <c r="D816">
        <f>HYPERLINK("https://www.youtube.com/watch?v=AuzSGeHal9Y&amp;t=184s", "Go to time")</f>
        <v/>
      </c>
    </row>
    <row r="817">
      <c r="A817">
        <f>HYPERLINK("https://www.youtube.com/watch?v=AuzSGeHal9Y", "Video")</f>
        <v/>
      </c>
      <c r="B817" t="inlineStr">
        <is>
          <t>3:21</t>
        </is>
      </c>
      <c r="C817" t="inlineStr">
        <is>
          <t>surrounded by humans who canot drive how</t>
        </is>
      </c>
      <c r="D817">
        <f>HYPERLINK("https://www.youtube.com/watch?v=AuzSGeHal9Y&amp;t=201s", "Go to time")</f>
        <v/>
      </c>
    </row>
    <row r="818">
      <c r="A818">
        <f>HYPERLINK("https://www.youtube.com/watch?v=0uVWH-xWzPk", "Video")</f>
        <v/>
      </c>
      <c r="B818" t="inlineStr">
        <is>
          <t>3:21</t>
        </is>
      </c>
      <c r="C818" t="inlineStr">
        <is>
          <t>dressed the shower Helen's drive to be</t>
        </is>
      </c>
      <c r="D818">
        <f>HYPERLINK("https://www.youtube.com/watch?v=0uVWH-xWzPk&amp;t=201s", "Go to time")</f>
        <v/>
      </c>
    </row>
    <row r="819">
      <c r="A819">
        <f>HYPERLINK("https://www.youtube.com/watch?v=MeeE4WB9-yY", "Video")</f>
        <v/>
      </c>
      <c r="B819" t="inlineStr">
        <is>
          <t>0:21</t>
        </is>
      </c>
      <c r="C819" t="inlineStr">
        <is>
          <t>a jump drive to this man vlad igor will</t>
        </is>
      </c>
      <c r="D819">
        <f>HYPERLINK("https://www.youtube.com/watch?v=MeeE4WB9-yY&amp;t=21s", "Go to time")</f>
        <v/>
      </c>
    </row>
    <row r="820">
      <c r="A820">
        <f>HYPERLINK("https://www.youtube.com/watch?v=MeeE4WB9-yY", "Video")</f>
        <v/>
      </c>
      <c r="B820" t="inlineStr">
        <is>
          <t>0:26</t>
        </is>
      </c>
      <c r="C820" t="inlineStr">
        <is>
          <t>drive will be disguised as a cookie vlad</t>
        </is>
      </c>
      <c r="D820">
        <f>HYPERLINK("https://www.youtube.com/watch?v=MeeE4WB9-yY&amp;t=26s", "Go to time")</f>
        <v/>
      </c>
    </row>
    <row r="821">
      <c r="A821">
        <f>HYPERLINK("https://www.youtube.com/watch?v=MeeE4WB9-yY", "Video")</f>
        <v/>
      </c>
      <c r="B821" t="inlineStr">
        <is>
          <t>0:35</t>
        </is>
      </c>
      <c r="C821" t="inlineStr">
        <is>
          <t>drive and convey it across town to your</t>
        </is>
      </c>
      <c r="D821">
        <f>HYPERLINK("https://www.youtube.com/watch?v=MeeE4WB9-yY&amp;t=35s", "Go to time")</f>
        <v/>
      </c>
    </row>
    <row r="822">
      <c r="A822">
        <f>HYPERLINK("https://www.youtube.com/watch?v=nwzucg1Fhh4", "Video")</f>
        <v/>
      </c>
      <c r="B822" t="inlineStr">
        <is>
          <t>0:02</t>
        </is>
      </c>
      <c r="C822" t="inlineStr">
        <is>
          <t>should totally be a super driver it's</t>
        </is>
      </c>
      <c r="D822">
        <f>HYPERLINK("https://www.youtube.com/watch?v=nwzucg1Fhh4&amp;t=2s", "Go to time")</f>
        <v/>
      </c>
    </row>
    <row r="823">
      <c r="A823">
        <f>HYPERLINK("https://www.youtube.com/watch?v=nwzucg1Fhh4", "Video")</f>
        <v/>
      </c>
      <c r="B823" t="inlineStr">
        <is>
          <t>0:04</t>
        </is>
      </c>
      <c r="C823" t="inlineStr">
        <is>
          <t>easy money super driver</t>
        </is>
      </c>
      <c r="D823">
        <f>HYPERLINK("https://www.youtube.com/watch?v=nwzucg1Fhh4&amp;t=4s", "Go to time")</f>
        <v/>
      </c>
    </row>
    <row r="824">
      <c r="A824">
        <f>HYPERLINK("https://www.youtube.com/watch?v=nwzucg1Fhh4", "Video")</f>
        <v/>
      </c>
      <c r="B824" t="inlineStr">
        <is>
          <t>0:12</t>
        </is>
      </c>
      <c r="C824" t="inlineStr">
        <is>
          <t>hi i'll be your super driver</t>
        </is>
      </c>
      <c r="D824">
        <f>HYPERLINK("https://www.youtube.com/watch?v=nwzucg1Fhh4&amp;t=12s", "Go to time")</f>
        <v/>
      </c>
    </row>
    <row r="825">
      <c r="A825">
        <f>HYPERLINK("https://www.youtube.com/watch?v=nwzucg1Fhh4", "Video")</f>
        <v/>
      </c>
      <c r="B825" t="inlineStr">
        <is>
          <t>0:20</t>
        </is>
      </c>
      <c r="C825" t="inlineStr">
        <is>
          <t>hi i'll be your super driver</t>
        </is>
      </c>
      <c r="D825">
        <f>HYPERLINK("https://www.youtube.com/watch?v=nwzucg1Fhh4&amp;t=20s", "Go to time")</f>
        <v/>
      </c>
    </row>
    <row r="826">
      <c r="A826">
        <f>HYPERLINK("https://www.youtube.com/watch?v=WuOpfQ9idPs", "Video")</f>
        <v/>
      </c>
      <c r="B826" t="inlineStr">
        <is>
          <t>2:59</t>
        </is>
      </c>
      <c r="C826" t="inlineStr">
        <is>
          <t>♪ THE HALF
THAT DRIVES ME CRAZY ♪</t>
        </is>
      </c>
      <c r="D826">
        <f>HYPERLINK("https://www.youtube.com/watch?v=WuOpfQ9idPs&amp;t=179s", "Go to time")</f>
        <v/>
      </c>
    </row>
    <row r="827">
      <c r="A827">
        <f>HYPERLINK("https://www.youtube.com/watch?v=Yj1mXwMoCdo", "Video")</f>
        <v/>
      </c>
      <c r="B827" t="inlineStr">
        <is>
          <t>2:36</t>
        </is>
      </c>
      <c r="C827" t="inlineStr">
        <is>
          <t>drive the family snail even though you</t>
        </is>
      </c>
      <c r="D827">
        <f>HYPERLINK("https://www.youtube.com/watch?v=Yj1mXwMoCdo&amp;t=156s", "Go to time")</f>
        <v/>
      </c>
    </row>
    <row r="828">
      <c r="A828">
        <f>HYPERLINK("https://www.youtube.com/watch?v=tZ3wjO3rEcY", "Video")</f>
        <v/>
      </c>
      <c r="B828" t="inlineStr">
        <is>
          <t>6:25</t>
        </is>
      </c>
      <c r="C828" t="inlineStr">
        <is>
          <t>[screwdriver squeaking]</t>
        </is>
      </c>
      <c r="D828">
        <f>HYPERLINK("https://www.youtube.com/watch?v=tZ3wjO3rEcY&amp;t=385s", "Go to time")</f>
        <v/>
      </c>
    </row>
    <row r="829">
      <c r="A829">
        <f>HYPERLINK("https://www.youtube.com/watch?v=nNDhdHbL518", "Video")</f>
        <v/>
      </c>
      <c r="B829" t="inlineStr">
        <is>
          <t>6:27</t>
        </is>
      </c>
      <c r="C829" t="inlineStr">
        <is>
          <t>Whoa! Did you see
that pile driver?</t>
        </is>
      </c>
      <c r="D829">
        <f>HYPERLINK("https://www.youtube.com/watch?v=nNDhdHbL518&amp;t=387s", "Go to time")</f>
        <v/>
      </c>
    </row>
    <row r="830">
      <c r="A830">
        <f>HYPERLINK("https://www.youtube.com/watch?v=NTpjRcvk5jg", "Video")</f>
        <v/>
      </c>
      <c r="B830" t="inlineStr">
        <is>
          <t>0:08</t>
        </is>
      </c>
      <c r="C830" t="inlineStr">
        <is>
          <t>look it's the car hope the driver's okay</t>
        </is>
      </c>
      <c r="D830">
        <f>HYPERLINK("https://www.youtube.com/watch?v=NTpjRcvk5jg&amp;t=8s", "Go to time")</f>
        <v/>
      </c>
    </row>
    <row r="831">
      <c r="A831">
        <f>HYPERLINK("https://www.youtube.com/watch?v=OoVAecsrWhM", "Video")</f>
        <v/>
      </c>
      <c r="B831" t="inlineStr">
        <is>
          <t>9:50</t>
        </is>
      </c>
      <c r="C831" t="inlineStr">
        <is>
          <t>driver's license definitely not arm</t>
        </is>
      </c>
      <c r="D831">
        <f>HYPERLINK("https://www.youtube.com/watch?v=OoVAecsrWhM&amp;t=590s", "Go to time")</f>
        <v/>
      </c>
    </row>
    <row r="832">
      <c r="A832">
        <f>HYPERLINK("https://www.youtube.com/watch?v=OoVAecsrWhM", "Video")</f>
        <v/>
      </c>
      <c r="B832" t="inlineStr">
        <is>
          <t>11:12</t>
        </is>
      </c>
      <c r="C832" t="inlineStr">
        <is>
          <t>total lack of drivers training don't</t>
        </is>
      </c>
      <c r="D832">
        <f>HYPERLINK("https://www.youtube.com/watch?v=OoVAecsrWhM&amp;t=672s", "Go to time")</f>
        <v/>
      </c>
    </row>
    <row r="833">
      <c r="A833">
        <f>HYPERLINK("https://www.youtube.com/watch?v=pTE1yForeRA", "Video")</f>
        <v/>
      </c>
      <c r="B833" t="inlineStr">
        <is>
          <t>6:39</t>
        </is>
      </c>
      <c r="C833" t="inlineStr">
        <is>
          <t>the Golden Gate Bridge we could drive</t>
        </is>
      </c>
      <c r="D833">
        <f>HYPERLINK("https://www.youtube.com/watch?v=pTE1yForeRA&amp;t=399s", "Go to time")</f>
        <v/>
      </c>
    </row>
    <row r="834">
      <c r="A834">
        <f>HYPERLINK("https://www.youtube.com/watch?v=22RuogN0sEY", "Video")</f>
        <v/>
      </c>
      <c r="B834" t="inlineStr">
        <is>
          <t>19:15</t>
        </is>
      </c>
      <c r="C834" t="inlineStr">
        <is>
          <t>and all we do
is drive you crazy.</t>
        </is>
      </c>
      <c r="D834">
        <f>HYPERLINK("https://www.youtube.com/watch?v=22RuogN0sEY&amp;t=1155s", "Go to time")</f>
        <v/>
      </c>
    </row>
    <row r="835">
      <c r="A835">
        <f>HYPERLINK("https://www.youtube.com/watch?v=Vgp5MYc8cXg", "Video")</f>
        <v/>
      </c>
      <c r="B835" t="inlineStr">
        <is>
          <t>0:01</t>
        </is>
      </c>
      <c r="C835" t="inlineStr">
        <is>
          <t>the battle a getaway driver has to get</t>
        </is>
      </c>
      <c r="D835">
        <f>HYPERLINK("https://www.youtube.com/watch?v=Vgp5MYc8cXg&amp;t=1s", "Go to time")</f>
        <v/>
      </c>
    </row>
    <row r="836">
      <c r="A836">
        <f>HYPERLINK("https://www.youtube.com/watch?v=bkOBUhNixSg", "Video")</f>
        <v/>
      </c>
      <c r="B836" t="inlineStr">
        <is>
          <t>0:55</t>
        </is>
      </c>
      <c r="C836" t="inlineStr">
        <is>
          <t>Did you drive Betsy
without permission again?</t>
        </is>
      </c>
      <c r="D836">
        <f>HYPERLINK("https://www.youtube.com/watch?v=bkOBUhNixSg&amp;t=55s", "Go to time")</f>
        <v/>
      </c>
    </row>
    <row r="837">
      <c r="A837">
        <f>HYPERLINK("https://www.youtube.com/watch?v=Rr_G0Frr9U0", "Video")</f>
        <v/>
      </c>
      <c r="B837" t="inlineStr">
        <is>
          <t>13:23</t>
        </is>
      </c>
      <c r="C837" t="inlineStr">
        <is>
          <t>the drive through nope nope I just want</t>
        </is>
      </c>
      <c r="D837">
        <f>HYPERLINK("https://www.youtube.com/watch?v=Rr_G0Frr9U0&amp;t=803s", "Go to time")</f>
        <v/>
      </c>
    </row>
    <row r="838">
      <c r="A838">
        <f>HYPERLINK("https://www.youtube.com/watch?v=Rr_G0Frr9U0", "Video")</f>
        <v/>
      </c>
      <c r="B838" t="inlineStr">
        <is>
          <t>17:59</t>
        </is>
      </c>
      <c r="C838" t="inlineStr">
        <is>
          <t>I never want to drive again</t>
        </is>
      </c>
      <c r="D838">
        <f>HYPERLINK("https://www.youtube.com/watch?v=Rr_G0Frr9U0&amp;t=1079s", "Go to time")</f>
        <v/>
      </c>
    </row>
    <row r="839">
      <c r="A839">
        <f>HYPERLINK("https://www.youtube.com/watch?v=Rr_G0Frr9U0", "Video")</f>
        <v/>
      </c>
      <c r="B839" t="inlineStr">
        <is>
          <t>18:36</t>
        </is>
      </c>
      <c r="C839" t="inlineStr">
        <is>
          <t>I do want to drive again but I'm nervous</t>
        </is>
      </c>
      <c r="D839">
        <f>HYPERLINK("https://www.youtube.com/watch?v=Rr_G0Frr9U0&amp;t=1116s", "Go to time")</f>
        <v/>
      </c>
    </row>
    <row r="840">
      <c r="A840">
        <f>HYPERLINK("https://www.youtube.com/watch?v=_obt-x0IxeY", "Video")</f>
        <v/>
      </c>
      <c r="B840" t="inlineStr">
        <is>
          <t>10:21</t>
        </is>
      </c>
      <c r="C840" t="inlineStr">
        <is>
          <t>size okay astronaut race car driver what</t>
        </is>
      </c>
      <c r="D840">
        <f>HYPERLINK("https://www.youtube.com/watch?v=_obt-x0IxeY&amp;t=621s", "Go to time")</f>
        <v/>
      </c>
    </row>
    <row r="841">
      <c r="A841">
        <f>HYPERLINK("https://www.youtube.com/watch?v=Pz3DIgDcFjU", "Video")</f>
        <v/>
      </c>
      <c r="B841" t="inlineStr">
        <is>
          <t>1:16</t>
        </is>
      </c>
      <c r="C841" t="inlineStr">
        <is>
          <t>BY THE WAY,
I CAN DRIVE YOU IF YOU WANT.</t>
        </is>
      </c>
      <c r="D841">
        <f>HYPERLINK("https://www.youtube.com/watch?v=Pz3DIgDcFjU&amp;t=76s", "Go to time")</f>
        <v/>
      </c>
    </row>
    <row r="842">
      <c r="A842">
        <f>HYPERLINK("https://www.youtube.com/watch?v=Pz3DIgDcFjU", "Video")</f>
        <v/>
      </c>
      <c r="B842" t="inlineStr">
        <is>
          <t>3:51</t>
        </is>
      </c>
      <c r="C842" t="inlineStr">
        <is>
          <t>♪ THE HALF THAT 
DRIVES ME CRAZY ♪</t>
        </is>
      </c>
      <c r="D842">
        <f>HYPERLINK("https://www.youtube.com/watch?v=Pz3DIgDcFjU&amp;t=231s", "Go to time")</f>
        <v/>
      </c>
    </row>
    <row r="843">
      <c r="A843">
        <f>HYPERLINK("https://www.youtube.com/watch?v=Md8Rg3iCrXo", "Video")</f>
        <v/>
      </c>
      <c r="B843" t="inlineStr">
        <is>
          <t>8:03</t>
        </is>
      </c>
      <c r="C843" t="inlineStr">
        <is>
          <t>people drive tens of miles to enter this</t>
        </is>
      </c>
      <c r="D843">
        <f>HYPERLINK("https://www.youtube.com/watch?v=Md8Rg3iCrXo&amp;t=483s", "Go to time")</f>
        <v/>
      </c>
    </row>
    <row r="844">
      <c r="A844">
        <f>HYPERLINK("https://www.youtube.com/watch?v=Md8Rg3iCrXo", "Video")</f>
        <v/>
      </c>
      <c r="B844" t="inlineStr">
        <is>
          <t>15:36</t>
        </is>
      </c>
      <c r="C844" t="inlineStr">
        <is>
          <t>bus driver is a crank no that's the city</t>
        </is>
      </c>
      <c r="D844">
        <f>HYPERLINK("https://www.youtube.com/watch?v=Md8Rg3iCrXo&amp;t=936s", "Go to time")</f>
        <v/>
      </c>
    </row>
    <row r="845">
      <c r="A845">
        <f>HYPERLINK("https://www.youtube.com/watch?v=jqu-xwQJYWY", "Video")</f>
        <v/>
      </c>
      <c r="B845" t="inlineStr">
        <is>
          <t>3:05</t>
        </is>
      </c>
      <c r="C845" t="inlineStr">
        <is>
          <t>to drive up and meet you at the next</t>
        </is>
      </c>
      <c r="D845">
        <f>HYPERLINK("https://www.youtube.com/watch?v=jqu-xwQJYWY&amp;t=185s", "Go to time")</f>
        <v/>
      </c>
    </row>
    <row r="846">
      <c r="A846">
        <f>HYPERLINK("https://www.youtube.com/watch?v=SphvIhbt8eI", "Video")</f>
        <v/>
      </c>
      <c r="B846" t="inlineStr">
        <is>
          <t>0:19</t>
        </is>
      </c>
      <c r="C846" t="inlineStr">
        <is>
          <t>had to get her hard drive
reformatted today.</t>
        </is>
      </c>
      <c r="D846">
        <f>HYPERLINK("https://www.youtube.com/watch?v=SphvIhbt8eI&amp;t=19s", "Go to time")</f>
        <v/>
      </c>
    </row>
    <row r="847">
      <c r="A847">
        <f>HYPERLINK("https://www.youtube.com/watch?v=XZhdugyMLrk", "Video")</f>
        <v/>
      </c>
      <c r="B847" t="inlineStr">
        <is>
          <t>1:11</t>
        </is>
      </c>
      <c r="C847" t="inlineStr">
        <is>
          <t>You drive like that my grandson.</t>
        </is>
      </c>
      <c r="D847">
        <f>HYPERLINK("https://www.youtube.com/watch?v=XZhdugyMLrk&amp;t=71s", "Go to time")</f>
        <v/>
      </c>
    </row>
    <row r="848">
      <c r="A848">
        <f>HYPERLINK("https://www.youtube.com/watch?v=KFy1l4yObAQ", "Video")</f>
        <v/>
      </c>
      <c r="B848" t="inlineStr">
        <is>
          <t>2:18</t>
        </is>
      </c>
      <c r="C848" t="inlineStr">
        <is>
          <t>to drive your cell</t>
        </is>
      </c>
      <c r="D848">
        <f>HYPERLINK("https://www.youtube.com/watch?v=KFy1l4yObAQ&amp;t=138s", "Go to time")</f>
        <v/>
      </c>
    </row>
    <row r="849">
      <c r="A849">
        <f>HYPERLINK("https://www.youtube.com/watch?v=UZobacvQzeQ", "Video")</f>
        <v/>
      </c>
      <c r="B849" t="inlineStr">
        <is>
          <t>0:26</t>
        </is>
      </c>
      <c r="C849" t="inlineStr">
        <is>
          <t>drives me nuts</t>
        </is>
      </c>
      <c r="D849">
        <f>HYPERLINK("https://www.youtube.com/watch?v=UZobacvQzeQ&amp;t=26s", "Go to time")</f>
        <v/>
      </c>
    </row>
    <row r="850">
      <c r="A850">
        <f>HYPERLINK("https://www.youtube.com/watch?v=BVG9lgWqSO8", "Video")</f>
        <v/>
      </c>
      <c r="B850" t="inlineStr">
        <is>
          <t>1:50</t>
        </is>
      </c>
      <c r="C850" t="inlineStr">
        <is>
          <t>where is it illegal to drive while</t>
        </is>
      </c>
      <c r="D850">
        <f>HYPERLINK("https://www.youtube.com/watch?v=BVG9lgWqSO8&amp;t=110s", "Go to time")</f>
        <v/>
      </c>
    </row>
    <row r="851">
      <c r="A851">
        <f>HYPERLINK("https://www.youtube.com/watch?v=C_7AAINbvro", "Video")</f>
        <v/>
      </c>
      <c r="B851" t="inlineStr">
        <is>
          <t>20:06</t>
        </is>
      </c>
      <c r="C851" t="inlineStr">
        <is>
          <t>SEE? NOTHING DRIVES
THE LADIES MAD</t>
        </is>
      </c>
      <c r="D851">
        <f>HYPERLINK("https://www.youtube.com/watch?v=C_7AAINbvro&amp;t=1206s", "Go to time")</f>
        <v/>
      </c>
    </row>
    <row r="852">
      <c r="A852">
        <f>HYPERLINK("https://www.youtube.com/watch?v=T97EKUImjo8", "Video")</f>
        <v/>
      </c>
      <c r="B852" t="inlineStr">
        <is>
          <t>3:59</t>
        </is>
      </c>
      <c r="C852" t="inlineStr">
        <is>
          <t>Look, as long as she can
drive the ball 150 yards</t>
        </is>
      </c>
      <c r="D852">
        <f>HYPERLINK("https://www.youtube.com/watch?v=T97EKUImjo8&amp;t=239s", "Go to time")</f>
        <v/>
      </c>
    </row>
    <row r="853">
      <c r="A853">
        <f>HYPERLINK("https://www.youtube.com/watch?v=d_ZPlVaDhNI", "Video")</f>
        <v/>
      </c>
      <c r="B853" t="inlineStr">
        <is>
          <t>8:52</t>
        </is>
      </c>
      <c r="C853" t="inlineStr">
        <is>
          <t>AND HE'S ON
A TEST DRIVE.</t>
        </is>
      </c>
      <c r="D853">
        <f>HYPERLINK("https://www.youtube.com/watch?v=d_ZPlVaDhNI&amp;t=532s", "Go to time")</f>
        <v/>
      </c>
    </row>
    <row r="854">
      <c r="A854">
        <f>HYPERLINK("https://www.youtube.com/watch?v=nPvX0KarghA", "Video")</f>
        <v/>
      </c>
      <c r="B854" t="inlineStr">
        <is>
          <t>17:11</t>
        </is>
      </c>
      <c r="C854" t="inlineStr">
        <is>
          <t>Who do you like,
driver's side or passenger?</t>
        </is>
      </c>
      <c r="D854">
        <f>HYPERLINK("https://www.youtube.com/watch?v=nPvX0KarghA&amp;t=1031s", "Go to time")</f>
        <v/>
      </c>
    </row>
    <row r="855">
      <c r="A855">
        <f>HYPERLINK("https://www.youtube.com/watch?v=nPvX0KarghA", "Video")</f>
        <v/>
      </c>
      <c r="B855" t="inlineStr">
        <is>
          <t>17:19</t>
        </is>
      </c>
      <c r="C855" t="inlineStr">
        <is>
          <t>Now, driver's or passenger's?
Driver's or passenger's?</t>
        </is>
      </c>
      <c r="D855">
        <f>HYPERLINK("https://www.youtube.com/watch?v=nPvX0KarghA&amp;t=1039s", "Go to time")</f>
        <v/>
      </c>
    </row>
    <row r="856">
      <c r="A856">
        <f>HYPERLINK("https://www.youtube.com/watch?v=nPvX0KarghA", "Video")</f>
        <v/>
      </c>
      <c r="B856" t="inlineStr">
        <is>
          <t>17:22</t>
        </is>
      </c>
      <c r="C856" t="inlineStr">
        <is>
          <t>Driver's or passenger's?</t>
        </is>
      </c>
      <c r="D856">
        <f>HYPERLINK("https://www.youtube.com/watch?v=nPvX0KarghA&amp;t=1042s", "Go to time")</f>
        <v/>
      </c>
    </row>
    <row r="857">
      <c r="A857">
        <f>HYPERLINK("https://www.youtube.com/watch?v=nPvX0KarghA", "Video")</f>
        <v/>
      </c>
      <c r="B857" t="inlineStr">
        <is>
          <t>17:24</t>
        </is>
      </c>
      <c r="C857" t="inlineStr">
        <is>
          <t>Fine. Driver's.</t>
        </is>
      </c>
      <c r="D857">
        <f>HYPERLINK("https://www.youtube.com/watch?v=nPvX0KarghA&amp;t=1044s", "Go to time")</f>
        <v/>
      </c>
    </row>
    <row r="858">
      <c r="A858">
        <f>HYPERLINK("https://www.youtube.com/watch?v=nPvX0KarghA", "Video")</f>
        <v/>
      </c>
      <c r="B858" t="inlineStr">
        <is>
          <t>17:28</t>
        </is>
      </c>
      <c r="C858" t="inlineStr">
        <is>
          <t>Driver's side wins!</t>
        </is>
      </c>
      <c r="D858">
        <f>HYPERLINK("https://www.youtube.com/watch?v=nPvX0KarghA&amp;t=1048s", "Go to time")</f>
        <v/>
      </c>
    </row>
    <row r="859">
      <c r="A859">
        <f>HYPERLINK("https://www.youtube.com/watch?v=1nHNDIHZex8", "Video")</f>
        <v/>
      </c>
      <c r="B859" t="inlineStr">
        <is>
          <t>9:04</t>
        </is>
      </c>
      <c r="C859" t="inlineStr">
        <is>
          <t>remax overdrive mode now</t>
        </is>
      </c>
      <c r="D859">
        <f>HYPERLINK("https://www.youtube.com/watch?v=1nHNDIHZex8&amp;t=544s", "Go to time")</f>
        <v/>
      </c>
    </row>
    <row r="860">
      <c r="A860">
        <f>HYPERLINK("https://www.youtube.com/watch?v=1nHNDIHZex8", "Video")</f>
        <v/>
      </c>
      <c r="B860" t="inlineStr">
        <is>
          <t>11:07</t>
        </is>
      </c>
      <c r="C860" t="inlineStr">
        <is>
          <t>should totally be a super driver it's</t>
        </is>
      </c>
      <c r="D860">
        <f>HYPERLINK("https://www.youtube.com/watch?v=1nHNDIHZex8&amp;t=667s", "Go to time")</f>
        <v/>
      </c>
    </row>
    <row r="861">
      <c r="A861">
        <f>HYPERLINK("https://www.youtube.com/watch?v=1nHNDIHZex8", "Video")</f>
        <v/>
      </c>
      <c r="B861" t="inlineStr">
        <is>
          <t>11:08</t>
        </is>
      </c>
      <c r="C861" t="inlineStr">
        <is>
          <t>easy money super driver</t>
        </is>
      </c>
      <c r="D861">
        <f>HYPERLINK("https://www.youtube.com/watch?v=1nHNDIHZex8&amp;t=668s", "Go to time")</f>
        <v/>
      </c>
    </row>
    <row r="862">
      <c r="A862">
        <f>HYPERLINK("https://www.youtube.com/watch?v=1nHNDIHZex8", "Video")</f>
        <v/>
      </c>
      <c r="B862" t="inlineStr">
        <is>
          <t>11:16</t>
        </is>
      </c>
      <c r="C862" t="inlineStr">
        <is>
          <t>hi i'll be your superdriver</t>
        </is>
      </c>
      <c r="D862">
        <f>HYPERLINK("https://www.youtube.com/watch?v=1nHNDIHZex8&amp;t=676s", "Go to time")</f>
        <v/>
      </c>
    </row>
    <row r="863">
      <c r="A863">
        <f>HYPERLINK("https://www.youtube.com/watch?v=1nHNDIHZex8", "Video")</f>
        <v/>
      </c>
      <c r="B863" t="inlineStr">
        <is>
          <t>11:24</t>
        </is>
      </c>
      <c r="C863" t="inlineStr">
        <is>
          <t>hi i'll be your superdriver</t>
        </is>
      </c>
      <c r="D863">
        <f>HYPERLINK("https://www.youtube.com/watch?v=1nHNDIHZex8&amp;t=684s", "Go to time")</f>
        <v/>
      </c>
    </row>
    <row r="864">
      <c r="A864">
        <f>HYPERLINK("https://www.youtube.com/watch?v=t3uPF_GtlBo", "Video")</f>
        <v/>
      </c>
      <c r="B864" t="inlineStr">
        <is>
          <t>0:35</t>
        </is>
      </c>
      <c r="C864" t="inlineStr">
        <is>
          <t>star that one time my mom let me drive</t>
        </is>
      </c>
      <c r="D864">
        <f>HYPERLINK("https://www.youtube.com/watch?v=t3uPF_GtlBo&amp;t=35s", "Go to time")</f>
        <v/>
      </c>
    </row>
    <row r="865">
      <c r="A865">
        <f>HYPERLINK("https://www.youtube.com/watch?v=2dTbE2GRZJA", "Video")</f>
        <v/>
      </c>
      <c r="B865" t="inlineStr">
        <is>
          <t>9:55</t>
        </is>
      </c>
      <c r="C865" t="inlineStr">
        <is>
          <t>get the driver to let us
look for the pieces.</t>
        </is>
      </c>
      <c r="D865">
        <f>HYPERLINK("https://www.youtube.com/watch?v=2dTbE2GRZJA&amp;t=595s", "Go to time")</f>
        <v/>
      </c>
    </row>
    <row r="866">
      <c r="A866">
        <f>HYPERLINK("https://www.youtube.com/watch?v=isTwx2V_2IM", "Video")</f>
        <v/>
      </c>
      <c r="B866" t="inlineStr">
        <is>
          <t>7:22</t>
        </is>
      </c>
      <c r="C866" t="inlineStr">
        <is>
          <t>YOU DON'T EVEN KNOW
HOW TO DRIVE IT.</t>
        </is>
      </c>
      <c r="D866">
        <f>HYPERLINK("https://www.youtube.com/watch?v=isTwx2V_2IM&amp;t=442s", "Go to time")</f>
        <v/>
      </c>
    </row>
    <row r="867">
      <c r="A867">
        <f>HYPERLINK("https://www.youtube.com/watch?v=isTwx2V_2IM", "Video")</f>
        <v/>
      </c>
      <c r="B867" t="inlineStr">
        <is>
          <t>7:24</t>
        </is>
      </c>
      <c r="C867" t="inlineStr">
        <is>
          <t>SO YOU SHOULD TEACH ME
HOW TO DRIVE THE CARPET.</t>
        </is>
      </c>
      <c r="D867">
        <f>HYPERLINK("https://www.youtube.com/watch?v=isTwx2V_2IM&amp;t=444s", "Go to time")</f>
        <v/>
      </c>
    </row>
    <row r="868">
      <c r="A868">
        <f>HYPERLINK("https://www.youtube.com/watch?v=csrBm9evBBo", "Video")</f>
        <v/>
      </c>
      <c r="B868" t="inlineStr">
        <is>
          <t>19:00</t>
        </is>
      </c>
      <c r="C868" t="inlineStr">
        <is>
          <t>My driver's stuck
in parade traffic.
Can you get me to my float?</t>
        </is>
      </c>
      <c r="D868">
        <f>HYPERLINK("https://www.youtube.com/watch?v=csrBm9evBBo&amp;t=1140s", "Go to time")</f>
        <v/>
      </c>
    </row>
    <row r="869">
      <c r="A869">
        <f>HYPERLINK("https://www.youtube.com/watch?v=B6cYjDoJU0g", "Video")</f>
        <v/>
      </c>
      <c r="B869" t="inlineStr">
        <is>
          <t>18:30</t>
        </is>
      </c>
      <c r="C869" t="inlineStr">
        <is>
          <t>star that one time my mom let me drive</t>
        </is>
      </c>
      <c r="D869">
        <f>HYPERLINK("https://www.youtube.com/watch?v=B6cYjDoJU0g&amp;t=1110s", "Go to time")</f>
        <v/>
      </c>
    </row>
    <row r="870">
      <c r="A870">
        <f>HYPERLINK("https://www.youtube.com/watch?v=BSnYPtZulyQ", "Video")</f>
        <v/>
      </c>
      <c r="B870" t="inlineStr">
        <is>
          <t>41:44</t>
        </is>
      </c>
      <c r="C870" t="inlineStr">
        <is>
          <t>the half half it drives me crazy</t>
        </is>
      </c>
      <c r="D870">
        <f>HYPERLINK("https://www.youtube.com/watch?v=BSnYPtZulyQ&amp;t=2504s", "Go to time")</f>
        <v/>
      </c>
    </row>
    <row r="871">
      <c r="A871">
        <f>HYPERLINK("https://www.youtube.com/watch?v=BSnYPtZulyQ", "Video")</f>
        <v/>
      </c>
      <c r="B871" t="inlineStr">
        <is>
          <t>59:51</t>
        </is>
      </c>
      <c r="C871" t="inlineStr">
        <is>
          <t>when you first drive to the ant farm I</t>
        </is>
      </c>
      <c r="D871">
        <f>HYPERLINK("https://www.youtube.com/watch?v=BSnYPtZulyQ&amp;t=3591s", "Go to time")</f>
        <v/>
      </c>
    </row>
    <row r="872">
      <c r="A872">
        <f>HYPERLINK("https://www.youtube.com/watch?v=BSnYPtZulyQ", "Video")</f>
        <v/>
      </c>
      <c r="B872" t="inlineStr">
        <is>
          <t>65:40</t>
        </is>
      </c>
      <c r="C872" t="inlineStr">
        <is>
          <t>hey you know what I gotta drive you kids</t>
        </is>
      </c>
      <c r="D872">
        <f>HYPERLINK("https://www.youtube.com/watch?v=BSnYPtZulyQ&amp;t=3940s", "Go to time")</f>
        <v/>
      </c>
    </row>
    <row r="873">
      <c r="A873">
        <f>HYPERLINK("https://www.youtube.com/watch?v=BSnYPtZulyQ", "Video")</f>
        <v/>
      </c>
      <c r="B873" t="inlineStr">
        <is>
          <t>109:50</t>
        </is>
      </c>
      <c r="C873" t="inlineStr">
        <is>
          <t>your driveway before you chickened out</t>
        </is>
      </c>
      <c r="D873">
        <f>HYPERLINK("https://www.youtube.com/watch?v=BSnYPtZulyQ&amp;t=6590s", "Go to time")</f>
        <v/>
      </c>
    </row>
    <row r="874">
      <c r="A874">
        <f>HYPERLINK("https://www.youtube.com/watch?v=XAG0OqHq9Ag", "Video")</f>
        <v/>
      </c>
      <c r="B874" t="inlineStr">
        <is>
          <t>6:31</t>
        </is>
      </c>
      <c r="C874" t="inlineStr">
        <is>
          <t>the skeleton Taxi Driver see you kids</t>
        </is>
      </c>
      <c r="D874">
        <f>HYPERLINK("https://www.youtube.com/watch?v=XAG0OqHq9Ag&amp;t=391s", "Go to time")</f>
        <v/>
      </c>
    </row>
    <row r="875">
      <c r="A875">
        <f>HYPERLINK("https://www.youtube.com/watch?v=rEGUDZZmj4M", "Video")</f>
        <v/>
      </c>
      <c r="B875" t="inlineStr">
        <is>
          <t>4:15</t>
        </is>
      </c>
      <c r="C875" t="inlineStr">
        <is>
          <t>goose chase and let me drive around in</t>
        </is>
      </c>
      <c r="D875">
        <f>HYPERLINK("https://www.youtube.com/watch?v=rEGUDZZmj4M&amp;t=255s", "Go to time")</f>
        <v/>
      </c>
    </row>
    <row r="876">
      <c r="A876">
        <f>HYPERLINK("https://www.youtube.com/watch?v=Xvt56NbLB2c", "Video")</f>
        <v/>
      </c>
      <c r="B876" t="inlineStr">
        <is>
          <t>2:29</t>
        </is>
      </c>
      <c r="C876" t="inlineStr">
        <is>
          <t>-♪ Drive a car! ♪
-♪ Smash guitars! ♪</t>
        </is>
      </c>
      <c r="D876">
        <f>HYPERLINK("https://www.youtube.com/watch?v=Xvt56NbLB2c&amp;t=149s", "Go to time")</f>
        <v/>
      </c>
    </row>
    <row r="877">
      <c r="A877">
        <f>HYPERLINK("https://www.youtube.com/watch?v=b8ftQYjCSxw", "Video")</f>
        <v/>
      </c>
      <c r="B877" t="inlineStr">
        <is>
          <t>0:25</t>
        </is>
      </c>
      <c r="C877" t="inlineStr">
        <is>
          <t>drive them somewhere i would bring my</t>
        </is>
      </c>
      <c r="D877">
        <f>HYPERLINK("https://www.youtube.com/watch?v=b8ftQYjCSxw&amp;t=25s", "Go to time")</f>
        <v/>
      </c>
    </row>
    <row r="878">
      <c r="A878">
        <f>HYPERLINK("https://www.youtube.com/watch?v=lQPEv3YnuPY", "Video")</f>
        <v/>
      </c>
      <c r="B878" t="inlineStr">
        <is>
          <t>1:50</t>
        </is>
      </c>
      <c r="C878" t="inlineStr">
        <is>
          <t>he's got a tractor I can drive it down</t>
        </is>
      </c>
      <c r="D878">
        <f>HYPERLINK("https://www.youtube.com/watch?v=lQPEv3YnuPY&amp;t=110s", "Go to time")</f>
        <v/>
      </c>
    </row>
    <row r="879">
      <c r="A879">
        <f>HYPERLINK("https://www.youtube.com/watch?v=lQPEv3YnuPY", "Video")</f>
        <v/>
      </c>
      <c r="B879" t="inlineStr">
        <is>
          <t>1:52</t>
        </is>
      </c>
      <c r="C879" t="inlineStr">
        <is>
          <t>there well don't drive would you give me</t>
        </is>
      </c>
      <c r="D879">
        <f>HYPERLINK("https://www.youtube.com/watch?v=lQPEv3YnuPY&amp;t=112s", "Go to time")</f>
        <v/>
      </c>
    </row>
    <row r="880">
      <c r="A880">
        <f>HYPERLINK("https://www.youtube.com/watch?v=tadi_P4WIeE", "Video")</f>
        <v/>
      </c>
      <c r="B880" t="inlineStr">
        <is>
          <t>7:50</t>
        </is>
      </c>
      <c r="C880" t="inlineStr">
        <is>
          <t>Time to take my girl
for a test drive.</t>
        </is>
      </c>
      <c r="D880">
        <f>HYPERLINK("https://www.youtube.com/watch?v=tadi_P4WIeE&amp;t=470s", "Go to time")</f>
        <v/>
      </c>
    </row>
    <row r="881">
      <c r="A881">
        <f>HYPERLINK("https://www.youtube.com/watch?v=cbUyljmbpTA", "Video")</f>
        <v/>
      </c>
      <c r="B881" t="inlineStr">
        <is>
          <t>0:34</t>
        </is>
      </c>
      <c r="C881" t="inlineStr">
        <is>
          <t>driver is a crank no that's a city motto</t>
        </is>
      </c>
      <c r="D881">
        <f>HYPERLINK("https://www.youtube.com/watch?v=cbUyljmbpTA&amp;t=34s", "Go to time")</f>
        <v/>
      </c>
    </row>
    <row r="882">
      <c r="A882">
        <f>HYPERLINK("https://www.youtube.com/watch?v=6brw2wKfOHc", "Video")</f>
        <v/>
      </c>
      <c r="B882" t="inlineStr">
        <is>
          <t>0:01</t>
        </is>
      </c>
      <c r="C882" t="inlineStr">
        <is>
          <t>mock cattle drive after leading the herd</t>
        </is>
      </c>
      <c r="D882">
        <f>HYPERLINK("https://www.youtube.com/watch?v=6brw2wKfOHc&amp;t=1s", "Go to time")</f>
        <v/>
      </c>
    </row>
    <row r="883">
      <c r="A883">
        <f>HYPERLINK("https://www.youtube.com/watch?v=6brw2wKfOHc", "Video")</f>
        <v/>
      </c>
      <c r="B883" t="inlineStr">
        <is>
          <t>0:27</t>
        </is>
      </c>
      <c r="C883" t="inlineStr">
        <is>
          <t>grub I know on a real kind drive you</t>
        </is>
      </c>
      <c r="D883">
        <f>HYPERLINK("https://www.youtube.com/watch?v=6brw2wKfOHc&amp;t=27s", "Go to time")</f>
        <v/>
      </c>
    </row>
    <row r="884">
      <c r="A884">
        <f>HYPERLINK("https://www.youtube.com/watch?v=SunaeFReaZY", "Video")</f>
        <v/>
      </c>
      <c r="B884" t="inlineStr">
        <is>
          <t>0:59</t>
        </is>
      </c>
      <c r="C884" t="inlineStr">
        <is>
          <t>I didn't drive us all the way
to Bannister Beach</t>
        </is>
      </c>
      <c r="D884">
        <f>HYPERLINK("https://www.youtube.com/watch?v=SunaeFReaZY&amp;t=59s", "Go to time")</f>
        <v/>
      </c>
    </row>
    <row r="885">
      <c r="A885">
        <f>HYPERLINK("https://www.youtube.com/watch?v=SunaeFReaZY", "Video")</f>
        <v/>
      </c>
      <c r="B885" t="inlineStr">
        <is>
          <t>1:08</t>
        </is>
      </c>
      <c r="C885" t="inlineStr">
        <is>
          <t>on the drive over?</t>
        </is>
      </c>
      <c r="D885">
        <f>HYPERLINK("https://www.youtube.com/watch?v=SunaeFReaZY&amp;t=68s", "Go to time")</f>
        <v/>
      </c>
    </row>
    <row r="886">
      <c r="A886">
        <f>HYPERLINK("https://www.youtube.com/watch?v=SunaeFReaZY", "Video")</f>
        <v/>
      </c>
      <c r="B886" t="inlineStr">
        <is>
          <t>13:47</t>
        </is>
      </c>
      <c r="C886" t="inlineStr">
        <is>
          <t>-[both grunt]
-[vehicle drives away]</t>
        </is>
      </c>
      <c r="D886">
        <f>HYPERLINK("https://www.youtube.com/watch?v=SunaeFReaZY&amp;t=827s", "Go to time")</f>
        <v/>
      </c>
    </row>
    <row r="887">
      <c r="A887">
        <f>HYPERLINK("https://www.youtube.com/watch?v=R8z6D8-bNR8", "Video")</f>
        <v/>
      </c>
      <c r="B887" t="inlineStr">
        <is>
          <t>5:22</t>
        </is>
      </c>
      <c r="C887" t="inlineStr">
        <is>
          <t>Yes! Perfect chance
to take our new powers
for a test drive.</t>
        </is>
      </c>
      <c r="D887">
        <f>HYPERLINK("https://www.youtube.com/watch?v=R8z6D8-bNR8&amp;t=322s", "Go to time")</f>
        <v/>
      </c>
    </row>
    <row r="888">
      <c r="A888">
        <f>HYPERLINK("https://www.youtube.com/watch?v=Hc5m3F7Rfy4", "Video")</f>
        <v/>
      </c>
      <c r="B888" t="inlineStr">
        <is>
          <t>0:07</t>
        </is>
      </c>
      <c r="C888" t="inlineStr">
        <is>
          <t>mom why can't you drive us to the</t>
        </is>
      </c>
      <c r="D888">
        <f>HYPERLINK("https://www.youtube.com/watch?v=Hc5m3F7Rfy4&amp;t=7s", "Go to time")</f>
        <v/>
      </c>
    </row>
    <row r="889">
      <c r="A889">
        <f>HYPERLINK("https://www.youtube.com/watch?v=RTuuvIqdko0", "Video")</f>
        <v/>
      </c>
      <c r="B889" t="inlineStr">
        <is>
          <t>3:59</t>
        </is>
      </c>
      <c r="C889" t="inlineStr">
        <is>
          <t>drive three hours to find you horsing</t>
        </is>
      </c>
      <c r="D889">
        <f>HYPERLINK("https://www.youtube.com/watch?v=RTuuvIqdko0&amp;t=239s", "Go to time")</f>
        <v/>
      </c>
    </row>
    <row r="890">
      <c r="A890">
        <f>HYPERLINK("https://www.youtube.com/watch?v=_njxJKdqQzk", "Video")</f>
        <v/>
      </c>
      <c r="B890" t="inlineStr">
        <is>
          <t>14:21</t>
        </is>
      </c>
      <c r="C890" t="inlineStr">
        <is>
          <t>had to get her hard drive
reformatted today.</t>
        </is>
      </c>
      <c r="D890">
        <f>HYPERLINK("https://www.youtube.com/watch?v=_njxJKdqQzk&amp;t=861s", "Go to time")</f>
        <v/>
      </c>
    </row>
    <row r="891">
      <c r="A891">
        <f>HYPERLINK("https://www.youtube.com/watch?v=-6GpD0NFovk", "Video")</f>
        <v/>
      </c>
      <c r="B891" t="inlineStr">
        <is>
          <t>19:28</t>
        </is>
      </c>
      <c r="C891" t="inlineStr">
        <is>
          <t>I CAN TEACH YOU
HOW TO DRIVE.</t>
        </is>
      </c>
      <c r="D891">
        <f>HYPERLINK("https://www.youtube.com/watch?v=-6GpD0NFovk&amp;t=1168s", "Go to time")</f>
        <v/>
      </c>
    </row>
    <row r="892">
      <c r="A892">
        <f>HYPERLINK("https://www.youtube.com/watch?v=0W28zuVa0_k", "Video")</f>
        <v/>
      </c>
      <c r="B892" t="inlineStr">
        <is>
          <t>13:08</t>
        </is>
      </c>
      <c r="C892" t="inlineStr">
        <is>
          <t>let's pull a ui and hit the drive</t>
        </is>
      </c>
      <c r="D892">
        <f>HYPERLINK("https://www.youtube.com/watch?v=0W28zuVa0_k&amp;t=788s", "Go to time")</f>
        <v/>
      </c>
    </row>
    <row r="893">
      <c r="A893">
        <f>HYPERLINK("https://www.youtube.com/watch?v=qnpASSmWIGw", "Video")</f>
        <v/>
      </c>
      <c r="B893" t="inlineStr">
        <is>
          <t>20:31</t>
        </is>
      </c>
      <c r="C893" t="inlineStr">
        <is>
          <t>Pete, Stan,
drive him to the right.</t>
        </is>
      </c>
      <c r="D893">
        <f>HYPERLINK("https://www.youtube.com/watch?v=qnpASSmWIGw&amp;t=1231s", "Go to time")</f>
        <v/>
      </c>
    </row>
    <row r="894">
      <c r="A894">
        <f>HYPERLINK("https://www.youtube.com/watch?v=BaFdTxoIqjU", "Video")</f>
        <v/>
      </c>
      <c r="B894" t="inlineStr">
        <is>
          <t>2:28</t>
        </is>
      </c>
      <c r="C894" t="inlineStr">
        <is>
          <t>I never want to drive again</t>
        </is>
      </c>
      <c r="D894">
        <f>HYPERLINK("https://www.youtube.com/watch?v=BaFdTxoIqjU&amp;t=148s", "Go to time")</f>
        <v/>
      </c>
    </row>
    <row r="895">
      <c r="A895">
        <f>HYPERLINK("https://www.youtube.com/watch?v=BaFdTxoIqjU", "Video")</f>
        <v/>
      </c>
      <c r="B895" t="inlineStr">
        <is>
          <t>3:05</t>
        </is>
      </c>
      <c r="C895" t="inlineStr">
        <is>
          <t>I do want to drive again but I'm nervous</t>
        </is>
      </c>
      <c r="D895">
        <f>HYPERLINK("https://www.youtube.com/watch?v=BaFdTxoIqjU&amp;t=185s", "Go to time")</f>
        <v/>
      </c>
    </row>
    <row r="896">
      <c r="A896">
        <f>HYPERLINK("https://www.youtube.com/watch?v=gGLVH6SPw0M", "Video")</f>
        <v/>
      </c>
      <c r="B896" t="inlineStr">
        <is>
          <t>0:35</t>
        </is>
      </c>
      <c r="C896" t="inlineStr">
        <is>
          <t>The getaway driver.</t>
        </is>
      </c>
      <c r="D896">
        <f>HYPERLINK("https://www.youtube.com/watch?v=gGLVH6SPw0M&amp;t=35s", "Go to time")</f>
        <v/>
      </c>
    </row>
    <row r="897">
      <c r="A897">
        <f>HYPERLINK("https://www.youtube.com/watch?v=tZGZRvnkziQ", "Video")</f>
        <v/>
      </c>
      <c r="B897" t="inlineStr">
        <is>
          <t>1:46</t>
        </is>
      </c>
      <c r="C897" t="inlineStr">
        <is>
          <t>up to she also takes her driver's test</t>
        </is>
      </c>
      <c r="D897">
        <f>HYPERLINK("https://www.youtube.com/watch?v=tZGZRvnkziQ&amp;t=106s", "Go to time")</f>
        <v/>
      </c>
    </row>
    <row r="898">
      <c r="A898">
        <f>HYPERLINK("https://www.youtube.com/watch?v=Q3PbNGxj4Zk", "Video")</f>
        <v/>
      </c>
      <c r="B898" t="inlineStr">
        <is>
          <t>14:27</t>
        </is>
      </c>
      <c r="C898" t="inlineStr">
        <is>
          <t>the guy who drives the back
end of a fire truck.</t>
        </is>
      </c>
      <c r="D898">
        <f>HYPERLINK("https://www.youtube.com/watch?v=Q3PbNGxj4Zk&amp;t=867s", "Go to time")</f>
        <v/>
      </c>
    </row>
    <row r="899">
      <c r="A899">
        <f>HYPERLINK("https://www.youtube.com/watch?v=cFg8CpyJv14", "Video")</f>
        <v/>
      </c>
      <c r="B899" t="inlineStr">
        <is>
          <t>8:55</t>
        </is>
      </c>
      <c r="C899" t="inlineStr">
        <is>
          <t>can drive</t>
        </is>
      </c>
      <c r="D899">
        <f>HYPERLINK("https://www.youtube.com/watch?v=cFg8CpyJv14&amp;t=535s", "Go to time")</f>
        <v/>
      </c>
    </row>
    <row r="900">
      <c r="A900">
        <f>HYPERLINK("https://www.youtube.com/watch?v=cFg8CpyJv14", "Video")</f>
        <v/>
      </c>
      <c r="B900" t="inlineStr">
        <is>
          <t>10:47</t>
        </is>
      </c>
      <c r="C900" t="inlineStr">
        <is>
          <t>drive is still going on and there is a</t>
        </is>
      </c>
      <c r="D900">
        <f>HYPERLINK("https://www.youtube.com/watch?v=cFg8CpyJv14&amp;t=647s", "Go to time")</f>
        <v/>
      </c>
    </row>
    <row r="901">
      <c r="A901">
        <f>HYPERLINK("https://www.youtube.com/watch?v=G4NmAZuV8S8", "Video")</f>
        <v/>
      </c>
      <c r="B901" t="inlineStr">
        <is>
          <t>0:39</t>
        </is>
      </c>
      <c r="C901" t="inlineStr">
        <is>
          <t>nice you want to drive home oh my gosh</t>
        </is>
      </c>
      <c r="D901">
        <f>HYPERLINK("https://www.youtube.com/watch?v=G4NmAZuV8S8&amp;t=39s", "Go to time")</f>
        <v/>
      </c>
    </row>
    <row r="902">
      <c r="A902">
        <f>HYPERLINK("https://www.youtube.com/watch?v=aKVK6sKP3Eg", "Video")</f>
        <v/>
      </c>
      <c r="B902" t="inlineStr">
        <is>
          <t>2:51</t>
        </is>
      </c>
      <c r="C902" t="inlineStr">
        <is>
          <t>pops there's your answer give it a drive</t>
        </is>
      </c>
      <c r="D902">
        <f>HYPERLINK("https://www.youtube.com/watch?v=aKVK6sKP3Eg&amp;t=171s", "Go to time")</f>
        <v/>
      </c>
    </row>
    <row r="903">
      <c r="A903">
        <f>HYPERLINK("https://www.youtube.com/watch?v=aKVK6sKP3Eg", "Video")</f>
        <v/>
      </c>
      <c r="B903" t="inlineStr">
        <is>
          <t>10:04</t>
        </is>
      </c>
      <c r="C903" t="inlineStr">
        <is>
          <t>drive and we took turns branding wanna</t>
        </is>
      </c>
      <c r="D903">
        <f>HYPERLINK("https://www.youtube.com/watch?v=aKVK6sKP3Eg&amp;t=604s", "Go to time")</f>
        <v/>
      </c>
    </row>
    <row r="904">
      <c r="A904">
        <f>HYPERLINK("https://www.youtube.com/watch?v=81YfMJbUUzA", "Video")</f>
        <v/>
      </c>
      <c r="B904" t="inlineStr">
        <is>
          <t>1:30</t>
        </is>
      </c>
      <c r="C904" t="inlineStr">
        <is>
          <t>putting me in overdrive speed of light</t>
        </is>
      </c>
      <c r="D904">
        <f>HYPERLINK("https://www.youtube.com/watch?v=81YfMJbUUzA&amp;t=90s", "Go to time")</f>
        <v/>
      </c>
    </row>
    <row r="905">
      <c r="A905">
        <f>HYPERLINK("https://www.youtube.com/watch?v=W5Aif5HyZds", "Video")</f>
        <v/>
      </c>
      <c r="B905" t="inlineStr">
        <is>
          <t>2:28</t>
        </is>
      </c>
      <c r="C905" t="inlineStr">
        <is>
          <t>powers for a test drive you guys are the</t>
        </is>
      </c>
      <c r="D905">
        <f>HYPERLINK("https://www.youtube.com/watch?v=W5Aif5HyZds&amp;t=148s", "Go to time")</f>
        <v/>
      </c>
    </row>
    <row r="906">
      <c r="A906">
        <f>HYPERLINK("https://www.youtube.com/watch?v=UEDLZ-OCJ10", "Video")</f>
        <v/>
      </c>
      <c r="B906" t="inlineStr">
        <is>
          <t>0:34</t>
        </is>
      </c>
      <c r="C906" t="inlineStr">
        <is>
          <t>kids to drive is part of</t>
        </is>
      </c>
      <c r="D906">
        <f>HYPERLINK("https://www.youtube.com/watch?v=UEDLZ-OCJ10&amp;t=34s", "Go to time")</f>
        <v/>
      </c>
    </row>
    <row r="907">
      <c r="A907">
        <f>HYPERLINK("https://www.youtube.com/watch?v=XC7qzJX_NrU", "Video")</f>
        <v/>
      </c>
      <c r="B907" t="inlineStr">
        <is>
          <t>0:39</t>
        </is>
      </c>
      <c r="C907" t="inlineStr">
        <is>
          <t>maybe my dad will let me drive no chance</t>
        </is>
      </c>
      <c r="D907">
        <f>HYPERLINK("https://www.youtube.com/watch?v=XC7qzJX_NrU&amp;t=39s", "Go to time")</f>
        <v/>
      </c>
    </row>
    <row r="908">
      <c r="A908">
        <f>HYPERLINK("https://www.youtube.com/watch?v=a0TWlVAfzpE", "Video")</f>
        <v/>
      </c>
      <c r="B908" t="inlineStr">
        <is>
          <t>0:44</t>
        </is>
      </c>
      <c r="C908" t="inlineStr">
        <is>
          <t>is gonna drive me crazy all right don't</t>
        </is>
      </c>
      <c r="D908">
        <f>HYPERLINK("https://www.youtube.com/watch?v=a0TWlVAfzpE&amp;t=44s", "Go to time")</f>
        <v/>
      </c>
    </row>
    <row r="909">
      <c r="A909">
        <f>HYPERLINK("https://www.youtube.com/watch?v=0-Ea-qF3bb8", "Video")</f>
        <v/>
      </c>
      <c r="B909" t="inlineStr">
        <is>
          <t>1:32</t>
        </is>
      </c>
      <c r="C909" t="inlineStr">
        <is>
          <t>145 when can I drive by myself look son</t>
        </is>
      </c>
      <c r="D909">
        <f>HYPERLINK("https://www.youtube.com/watch?v=0-Ea-qF3bb8&amp;t=92s", "Go to time")</f>
        <v/>
      </c>
    </row>
    <row r="910">
      <c r="A910">
        <f>HYPERLINK("https://www.youtube.com/watch?v=IvAhEYdBRNs", "Video")</f>
        <v/>
      </c>
      <c r="B910" t="inlineStr">
        <is>
          <t>0:28</t>
        </is>
      </c>
      <c r="C910" t="inlineStr">
        <is>
          <t>vacation maybe my dad will let me drive</t>
        </is>
      </c>
      <c r="D910">
        <f>HYPERLINK("https://www.youtube.com/watch?v=IvAhEYdBRNs&amp;t=28s", "Go to time")</f>
        <v/>
      </c>
    </row>
    <row r="911">
      <c r="A911">
        <f>HYPERLINK("https://www.youtube.com/watch?v=ombE-5zInWI", "Video")</f>
        <v/>
      </c>
      <c r="B911" t="inlineStr">
        <is>
          <t>10:09</t>
        </is>
      </c>
      <c r="C911" t="inlineStr">
        <is>
          <t>If I had known
they'd let me
drive a golf cart,</t>
        </is>
      </c>
      <c r="D911">
        <f>HYPERLINK("https://www.youtube.com/watch?v=ombE-5zInWI&amp;t=609s", "Go to time")</f>
        <v/>
      </c>
    </row>
    <row r="912">
      <c r="A912">
        <f>HYPERLINK("https://www.youtube.com/watch?v=vp2wt1s2y0Q", "Video")</f>
        <v/>
      </c>
      <c r="B912" t="inlineStr">
        <is>
          <t>34:22</t>
        </is>
      </c>
      <c r="C912" t="inlineStr">
        <is>
          <t>drive you expect your moment Center</t>
        </is>
      </c>
      <c r="D912">
        <f>HYPERLINK("https://www.youtube.com/watch?v=vp2wt1s2y0Q&amp;t=2062s", "Go to time")</f>
        <v/>
      </c>
    </row>
    <row r="913">
      <c r="A913">
        <f>HYPERLINK("https://www.youtube.com/watch?v=8hdlA99XPTk", "Video")</f>
        <v/>
      </c>
      <c r="B913" t="inlineStr">
        <is>
          <t>1:47</t>
        </is>
      </c>
      <c r="C913" t="inlineStr">
        <is>
          <t>listen to her drivel for one more second</t>
        </is>
      </c>
      <c r="D913">
        <f>HYPERLINK("https://www.youtube.com/watch?v=8hdlA99XPTk&amp;t=107s", "Go to time")</f>
        <v/>
      </c>
    </row>
    <row r="914">
      <c r="A914">
        <f>HYPERLINK("https://www.youtube.com/watch?v=69XMIiiwhd8", "Video")</f>
        <v/>
      </c>
      <c r="B914" t="inlineStr">
        <is>
          <t>0:09</t>
        </is>
      </c>
      <c r="C914" t="inlineStr">
        <is>
          <t>cool new invisible driver we appreciate</t>
        </is>
      </c>
      <c r="D914">
        <f>HYPERLINK("https://www.youtube.com/watch?v=69XMIiiwhd8&amp;t=9s", "Go to time")</f>
        <v/>
      </c>
    </row>
    <row r="915">
      <c r="A915">
        <f>HYPERLINK("https://www.youtube.com/watch?v=syhuwNidyPM", "Video")</f>
        <v/>
      </c>
      <c r="B915" t="inlineStr">
        <is>
          <t>0:02</t>
        </is>
      </c>
      <c r="C915" t="inlineStr">
        <is>
          <t>KEVIN: The day I turned 16,
I got my driver's license
and suddenly I was free.</t>
        </is>
      </c>
      <c r="D915">
        <f>HYPERLINK("https://www.youtube.com/watch?v=syhuwNidyPM&amp;t=2s", "Go to time")</f>
        <v/>
      </c>
    </row>
    <row r="916">
      <c r="A916">
        <f>HYPERLINK("https://www.youtube.com/watch?v=syhuwNidyPM", "Video")</f>
        <v/>
      </c>
      <c r="B916" t="inlineStr">
        <is>
          <t>17:25</t>
        </is>
      </c>
      <c r="C916" t="inlineStr">
        <is>
          <t>so we had to drive
around a little.</t>
        </is>
      </c>
      <c r="D916">
        <f>HYPERLINK("https://www.youtube.com/watch?v=syhuwNidyPM&amp;t=1045s", "Go to time")</f>
        <v/>
      </c>
    </row>
    <row r="917">
      <c r="A917">
        <f>HYPERLINK("https://www.youtube.com/watch?v=htfD1R1dN4g", "Video")</f>
        <v/>
      </c>
      <c r="B917" t="inlineStr">
        <is>
          <t>0:57</t>
        </is>
      </c>
      <c r="C917" t="inlineStr">
        <is>
          <t>they drive off into the distance</t>
        </is>
      </c>
      <c r="D917">
        <f>HYPERLINK("https://www.youtube.com/watch?v=htfD1R1dN4g&amp;t=57s", "Go to time")</f>
        <v/>
      </c>
    </row>
    <row r="918">
      <c r="A918">
        <f>HYPERLINK("https://www.youtube.com/watch?v=bkSj8WJBY8E", "Video")</f>
        <v/>
      </c>
      <c r="B918" t="inlineStr">
        <is>
          <t>3:25</t>
        </is>
      </c>
      <c r="C918" t="inlineStr">
        <is>
          <t>soft-hearted ambulance driver and yours</t>
        </is>
      </c>
      <c r="D918">
        <f>HYPERLINK("https://www.youtube.com/watch?v=bkSj8WJBY8E&amp;t=205s", "Go to time")</f>
        <v/>
      </c>
    </row>
    <row r="919">
      <c r="A919">
        <f>HYPERLINK("https://www.youtube.com/watch?v=uZlFSz7Zq8U", "Video")</f>
        <v/>
      </c>
      <c r="B919" t="inlineStr">
        <is>
          <t>5:18</t>
        </is>
      </c>
      <c r="C919" t="inlineStr">
        <is>
          <t>got a long drive ahead of us when you</t>
        </is>
      </c>
      <c r="D919">
        <f>HYPERLINK("https://www.youtube.com/watch?v=uZlFSz7Zq8U&amp;t=318s", "Go to time")</f>
        <v/>
      </c>
    </row>
    <row r="920">
      <c r="A920">
        <f>HYPERLINK("https://www.youtube.com/watch?v=q8jLyotMMVE", "Video")</f>
        <v/>
      </c>
      <c r="B920" t="inlineStr">
        <is>
          <t>45:13</t>
        </is>
      </c>
      <c r="C920" t="inlineStr">
        <is>
          <t>totally insane dude let's drive home</t>
        </is>
      </c>
      <c r="D920">
        <f>HYPERLINK("https://www.youtube.com/watch?v=q8jLyotMMVE&amp;t=2713s", "Go to time")</f>
        <v/>
      </c>
    </row>
    <row r="921">
      <c r="A921">
        <f>HYPERLINK("https://www.youtube.com/watch?v=ZgcKrRGeVOg", "Video")</f>
        <v/>
      </c>
      <c r="B921" t="inlineStr">
        <is>
          <t>21:01</t>
        </is>
      </c>
      <c r="C921" t="inlineStr">
        <is>
          <t>thieves we kind of need you to drive</t>
        </is>
      </c>
      <c r="D921">
        <f>HYPERLINK("https://www.youtube.com/watch?v=ZgcKrRGeVOg&amp;t=1261s", "Go to time")</f>
        <v/>
      </c>
    </row>
    <row r="922">
      <c r="A922">
        <f>HYPERLINK("https://www.youtube.com/watch?v=IgI8_npvjkI", "Video")</f>
        <v/>
      </c>
      <c r="B922" t="inlineStr">
        <is>
          <t>4:28</t>
        </is>
      </c>
      <c r="C922" t="inlineStr">
        <is>
          <t>it drive you crazy to have a switch and</t>
        </is>
      </c>
      <c r="D922">
        <f>HYPERLINK("https://www.youtube.com/watch?v=IgI8_npvjkI&amp;t=268s", "Go to time")</f>
        <v/>
      </c>
    </row>
    <row r="923">
      <c r="A923">
        <f>HYPERLINK("https://www.youtube.com/watch?v=UYrwmTpmz60", "Video")</f>
        <v/>
      </c>
      <c r="B923" t="inlineStr">
        <is>
          <t>0:26</t>
        </is>
      </c>
      <c r="C923" t="inlineStr">
        <is>
          <t>okay uh you drive safe okay</t>
        </is>
      </c>
      <c r="D923">
        <f>HYPERLINK("https://www.youtube.com/watch?v=UYrwmTpmz60&amp;t=26s", "Go to time")</f>
        <v/>
      </c>
    </row>
    <row r="924">
      <c r="A924">
        <f>HYPERLINK("https://www.youtube.com/watch?v=UYrwmTpmz60", "Video")</f>
        <v/>
      </c>
      <c r="B924" t="inlineStr">
        <is>
          <t>38:39</t>
        </is>
      </c>
      <c r="C924" t="inlineStr">
        <is>
          <t>drive it to Las Vegas all right thanks</t>
        </is>
      </c>
      <c r="D924">
        <f>HYPERLINK("https://www.youtube.com/watch?v=UYrwmTpmz60&amp;t=2319s", "Go to time")</f>
        <v/>
      </c>
    </row>
    <row r="925">
      <c r="A925">
        <f>HYPERLINK("https://www.youtube.com/watch?v=GVh8YKG7Tlc", "Video")</f>
        <v/>
      </c>
      <c r="B925" t="inlineStr">
        <is>
          <t>0:36</t>
        </is>
      </c>
      <c r="C925" t="inlineStr">
        <is>
          <t>Virginia hey maybe I'll drive you up</t>
        </is>
      </c>
      <c r="D925">
        <f>HYPERLINK("https://www.youtube.com/watch?v=GVh8YKG7Tlc&amp;t=36s", "Go to time")</f>
        <v/>
      </c>
    </row>
    <row r="926">
      <c r="A926">
        <f>HYPERLINK("https://www.youtube.com/watch?v=BKd9yqqPPIE", "Video")</f>
        <v/>
      </c>
      <c r="B926" t="inlineStr">
        <is>
          <t>0:16</t>
        </is>
      </c>
      <c r="C926" t="inlineStr">
        <is>
          <t>let us drive his Jaguar Joey for 12</t>
        </is>
      </c>
      <c r="D926">
        <f>HYPERLINK("https://www.youtube.com/watch?v=BKd9yqqPPIE&amp;t=16s", "Go to time")</f>
        <v/>
      </c>
    </row>
    <row r="927">
      <c r="A927">
        <f>HYPERLINK("https://www.youtube.com/watch?v=76tlr1ugLUs", "Video")</f>
        <v/>
      </c>
      <c r="B927" t="inlineStr">
        <is>
          <t>15:26</t>
        </is>
      </c>
      <c r="C927" t="inlineStr">
        <is>
          <t>megabytes of ram 500 megab hard drive</t>
        </is>
      </c>
      <c r="D927">
        <f>HYPERLINK("https://www.youtube.com/watch?v=76tlr1ugLUs&amp;t=926s", "Go to time")</f>
        <v/>
      </c>
    </row>
    <row r="928">
      <c r="A928">
        <f>HYPERLINK("https://www.youtube.com/watch?v=hO-21fU7Si4", "Video")</f>
        <v/>
      </c>
      <c r="B928" t="inlineStr">
        <is>
          <t>0:02</t>
        </is>
      </c>
      <c r="C928" t="inlineStr">
        <is>
          <t>you could drive it to Las Vegas all</t>
        </is>
      </c>
      <c r="D928">
        <f>HYPERLINK("https://www.youtube.com/watch?v=hO-21fU7Si4&amp;t=2s", "Go to time")</f>
        <v/>
      </c>
    </row>
    <row r="929">
      <c r="A929">
        <f>HYPERLINK("https://www.youtube.com/watch?v=w0a07NySt6I", "Video")</f>
        <v/>
      </c>
      <c r="B929" t="inlineStr">
        <is>
          <t>23:12</t>
        </is>
      </c>
      <c r="C929" t="inlineStr">
        <is>
          <t>let us drive his Jaguar joy for 12 blcks</t>
        </is>
      </c>
      <c r="D929">
        <f>HYPERLINK("https://www.youtube.com/watch?v=w0a07NySt6I&amp;t=1392s", "Go to time")</f>
        <v/>
      </c>
    </row>
    <row r="930">
      <c r="A930">
        <f>HYPERLINK("https://www.youtube.com/watch?v=qmgTn199WOE", "Video")</f>
        <v/>
      </c>
      <c r="B930" t="inlineStr">
        <is>
          <t>6:13</t>
        </is>
      </c>
      <c r="C930" t="inlineStr">
        <is>
          <t>hard drive built-in spreadsheet</t>
        </is>
      </c>
      <c r="D930">
        <f>HYPERLINK("https://www.youtube.com/watch?v=qmgTn199WOE&amp;t=373s", "Go to time")</f>
        <v/>
      </c>
    </row>
    <row r="931">
      <c r="A931">
        <f>HYPERLINK("https://www.youtube.com/watch?v=qmgTn199WOE", "Video")</f>
        <v/>
      </c>
      <c r="B931" t="inlineStr">
        <is>
          <t>16:34</t>
        </is>
      </c>
      <c r="C931" t="inlineStr">
        <is>
          <t>Virginia hey maybe I'll drive you up</t>
        </is>
      </c>
      <c r="D931">
        <f>HYPERLINK("https://www.youtube.com/watch?v=qmgTn199WOE&amp;t=994s", "Go to time")</f>
        <v/>
      </c>
    </row>
    <row r="932">
      <c r="A932">
        <f>HYPERLINK("https://www.youtube.com/watch?v=qmgTn199WOE", "Video")</f>
        <v/>
      </c>
      <c r="B932" t="inlineStr">
        <is>
          <t>18:26</t>
        </is>
      </c>
      <c r="C932" t="inlineStr">
        <is>
          <t>yeah he let us drive his Jaguar Joey for</t>
        </is>
      </c>
      <c r="D932">
        <f>HYPERLINK("https://www.youtube.com/watch?v=qmgTn199WOE&amp;t=1106s", "Go to time")</f>
        <v/>
      </c>
    </row>
    <row r="933">
      <c r="A933">
        <f>HYPERLINK("https://www.youtube.com/watch?v=YKbizAipups", "Video")</f>
        <v/>
      </c>
      <c r="B933" t="inlineStr">
        <is>
          <t>30:41</t>
        </is>
      </c>
      <c r="C933" t="inlineStr">
        <is>
          <t>drive Ross you have to get that job what</t>
        </is>
      </c>
      <c r="D933">
        <f>HYPERLINK("https://www.youtube.com/watch?v=YKbizAipups&amp;t=1841s", "Go to time")</f>
        <v/>
      </c>
    </row>
    <row r="934">
      <c r="A934">
        <f>HYPERLINK("https://www.youtube.com/watch?v=-SPzv5UVgwc", "Video")</f>
        <v/>
      </c>
      <c r="B934" t="inlineStr">
        <is>
          <t>8:29</t>
        </is>
      </c>
      <c r="C934" t="inlineStr">
        <is>
          <t>are you drive safe okay Ross what are</t>
        </is>
      </c>
      <c r="D934">
        <f>HYPERLINK("https://www.youtube.com/watch?v=-SPzv5UVgwc&amp;t=509s", "Go to time")</f>
        <v/>
      </c>
    </row>
    <row r="935">
      <c r="A935">
        <f>HYPERLINK("https://www.youtube.com/watch?v=p7wabPRxvII", "Video")</f>
        <v/>
      </c>
      <c r="B935" t="inlineStr">
        <is>
          <t>10:50</t>
        </is>
      </c>
      <c r="C935" t="inlineStr">
        <is>
          <t>drive you crazy to have a switch and not</t>
        </is>
      </c>
      <c r="D935">
        <f>HYPERLINK("https://www.youtube.com/watch?v=p7wabPRxvII&amp;t=650s", "Go to time")</f>
        <v/>
      </c>
    </row>
    <row r="936">
      <c r="A936">
        <f>HYPERLINK("https://www.youtube.com/watch?v=p7wabPRxvII", "Video")</f>
        <v/>
      </c>
      <c r="B936" t="inlineStr">
        <is>
          <t>17:58</t>
        </is>
      </c>
      <c r="C936" t="inlineStr">
        <is>
          <t>could drive to Las Vegas all right</t>
        </is>
      </c>
      <c r="D936">
        <f>HYPERLINK("https://www.youtube.com/watch?v=p7wabPRxvII&amp;t=1078s", "Go to time")</f>
        <v/>
      </c>
    </row>
    <row r="937">
      <c r="A937">
        <f>HYPERLINK("https://www.youtube.com/watch?v=K4pto-C3Wag", "Video")</f>
        <v/>
      </c>
      <c r="B937" t="inlineStr">
        <is>
          <t>2:42</t>
        </is>
      </c>
      <c r="C937" t="inlineStr">
        <is>
          <t>it a test drive okay oh my God my first</t>
        </is>
      </c>
      <c r="D937">
        <f>HYPERLINK("https://www.youtube.com/watch?v=K4pto-C3Wag&amp;t=162s", "Go to time")</f>
        <v/>
      </c>
    </row>
    <row r="938">
      <c r="A938">
        <f>HYPERLINK("https://www.youtube.com/watch?v=2O0k4LFmiM4", "Video")</f>
        <v/>
      </c>
      <c r="B938" t="inlineStr">
        <is>
          <t>2:27</t>
        </is>
      </c>
      <c r="C938" t="inlineStr">
        <is>
          <t>night so Seth offered to drive me to the</t>
        </is>
      </c>
      <c r="D938">
        <f>HYPERLINK("https://www.youtube.com/watch?v=2O0k4LFmiM4&amp;t=147s", "Go to time")</f>
        <v/>
      </c>
    </row>
    <row r="939">
      <c r="A939">
        <f>HYPERLINK("https://www.youtube.com/watch?v=NOV6y43KyOQ", "Video")</f>
        <v/>
      </c>
      <c r="B939" t="inlineStr">
        <is>
          <t>1:07</t>
        </is>
      </c>
      <c r="C939" t="inlineStr">
        <is>
          <t>drive you crazy to have a switch and not</t>
        </is>
      </c>
      <c r="D939">
        <f>HYPERLINK("https://www.youtube.com/watch?v=NOV6y43KyOQ&amp;t=67s", "Go to time")</f>
        <v/>
      </c>
    </row>
    <row r="940">
      <c r="A940">
        <f>HYPERLINK("https://www.youtube.com/watch?v=xUFB_Znb4yU", "Video")</f>
        <v/>
      </c>
      <c r="B940" t="inlineStr">
        <is>
          <t>10:16</t>
        </is>
      </c>
      <c r="C940" t="inlineStr">
        <is>
          <t>glasses I probably shouldn't have driven</t>
        </is>
      </c>
      <c r="D940">
        <f>HYPERLINK("https://www.youtube.com/watch?v=xUFB_Znb4yU&amp;t=616s", "Go to time")</f>
        <v/>
      </c>
    </row>
    <row r="941">
      <c r="A941">
        <f>HYPERLINK("https://www.youtube.com/watch?v=nbsQt1nOAg0", "Video")</f>
        <v/>
      </c>
      <c r="B941" t="inlineStr">
        <is>
          <t>24:47</t>
        </is>
      </c>
      <c r="C941" t="inlineStr">
        <is>
          <t>megabytes of ram 500 megabyte hard drive</t>
        </is>
      </c>
      <c r="D941">
        <f>HYPERLINK("https://www.youtube.com/watch?v=nbsQt1nOAg0&amp;t=1487s", "Go to time")</f>
        <v/>
      </c>
    </row>
    <row r="942">
      <c r="A942">
        <f>HYPERLINK("https://www.youtube.com/watch?v=C6Yx3f50e3M", "Video")</f>
        <v/>
      </c>
      <c r="B942" t="inlineStr">
        <is>
          <t>0:51</t>
        </is>
      </c>
      <c r="C942" t="inlineStr">
        <is>
          <t>drive everybody up there in your</t>
        </is>
      </c>
      <c r="D942">
        <f>HYPERLINK("https://www.youtube.com/watch?v=C6Yx3f50e3M&amp;t=51s", "Go to time")</f>
        <v/>
      </c>
    </row>
    <row r="943">
      <c r="A943">
        <f>HYPERLINK("https://www.youtube.com/watch?v=AE8wZmNHNDU", "Video")</f>
        <v/>
      </c>
      <c r="B943" t="inlineStr">
        <is>
          <t>3:08</t>
        </is>
      </c>
      <c r="C943" t="inlineStr">
        <is>
          <t>okay uh you drive safe okay Ross what</t>
        </is>
      </c>
      <c r="D943">
        <f>HYPERLINK("https://www.youtube.com/watch?v=AE8wZmNHNDU&amp;t=188s", "Go to time")</f>
        <v/>
      </c>
    </row>
    <row r="944">
      <c r="A944">
        <f>HYPERLINK("https://www.youtube.com/watch?v=AE8wZmNHNDU", "Video")</f>
        <v/>
      </c>
      <c r="B944" t="inlineStr">
        <is>
          <t>24:42</t>
        </is>
      </c>
      <c r="C944" t="inlineStr">
        <is>
          <t>let us drive his Jaguar Joey for 12</t>
        </is>
      </c>
      <c r="D944">
        <f>HYPERLINK("https://www.youtube.com/watch?v=AE8wZmNHNDU&amp;t=1482s", "Go to time")</f>
        <v/>
      </c>
    </row>
    <row r="945">
      <c r="A945">
        <f>HYPERLINK("https://www.youtube.com/watch?v=CqFnjTV51Ss", "Video")</f>
        <v/>
      </c>
      <c r="B945" t="inlineStr">
        <is>
          <t>0:03</t>
        </is>
      </c>
      <c r="C945" t="inlineStr">
        <is>
          <t>megabytes of ram 500 megabyte hard drive</t>
        </is>
      </c>
      <c r="D945">
        <f>HYPERLINK("https://www.youtube.com/watch?v=CqFnjTV51Ss&amp;t=3s", "Go to time")</f>
        <v/>
      </c>
    </row>
    <row r="946">
      <c r="A946">
        <f>HYPERLINK("https://www.youtube.com/watch?v=eC-OF6C3T28", "Video")</f>
        <v/>
      </c>
      <c r="B946" t="inlineStr">
        <is>
          <t>18:38</t>
        </is>
      </c>
      <c r="C946" t="inlineStr">
        <is>
          <t>ram 500 megabyte hard drive built-in</t>
        </is>
      </c>
      <c r="D946">
        <f>HYPERLINK("https://www.youtube.com/watch?v=eC-OF6C3T28&amp;t=1118s", "Go to time")</f>
        <v/>
      </c>
    </row>
    <row r="947">
      <c r="A947">
        <f>HYPERLINK("https://www.youtube.com/watch?v=eC-OF6C3T28", "Video")</f>
        <v/>
      </c>
      <c r="B947" t="inlineStr">
        <is>
          <t>37:00</t>
        </is>
      </c>
      <c r="C947" t="inlineStr">
        <is>
          <t>okay uh you drive safe okay Ross what</t>
        </is>
      </c>
      <c r="D947">
        <f>HYPERLINK("https://www.youtube.com/watch?v=eC-OF6C3T28&amp;t=2220s", "Go to time")</f>
        <v/>
      </c>
    </row>
    <row r="948">
      <c r="A948">
        <f>HYPERLINK("https://www.youtube.com/watch?v=qlbu1gJ9LU4", "Video")</f>
        <v/>
      </c>
      <c r="B948" t="inlineStr">
        <is>
          <t>0:27</t>
        </is>
      </c>
      <c r="C948" t="inlineStr">
        <is>
          <t>uh you drive safe okay</t>
        </is>
      </c>
      <c r="D948">
        <f>HYPERLINK("https://www.youtube.com/watch?v=qlbu1gJ9LU4&amp;t=27s", "Go to time")</f>
        <v/>
      </c>
    </row>
    <row r="949">
      <c r="A949">
        <f>HYPERLINK("https://www.youtube.com/watch?v=USP05bEL6iU", "Video")</f>
        <v/>
      </c>
      <c r="B949" t="inlineStr">
        <is>
          <t>11:08</t>
        </is>
      </c>
      <c r="C949" t="inlineStr">
        <is>
          <t>drive Ross you have to get that job what</t>
        </is>
      </c>
      <c r="D949">
        <f>HYPERLINK("https://www.youtube.com/watch?v=USP05bEL6iU&amp;t=668s", "Go to time")</f>
        <v/>
      </c>
    </row>
    <row r="950">
      <c r="A950">
        <f>HYPERLINK("https://www.youtube.com/watch?v=g7iAe94z438", "Video")</f>
        <v/>
      </c>
      <c r="B950" t="inlineStr">
        <is>
          <t>14:27</t>
        </is>
      </c>
      <c r="C950" t="inlineStr">
        <is>
          <t>night so Seth offered to drive me to the</t>
        </is>
      </c>
      <c r="D950">
        <f>HYPERLINK("https://www.youtube.com/watch?v=g7iAe94z438&amp;t=867s", "Go to time")</f>
        <v/>
      </c>
    </row>
    <row r="951">
      <c r="A951">
        <f>HYPERLINK("https://www.youtube.com/watch?v=PkeFMCyt7Pc", "Video")</f>
        <v/>
      </c>
      <c r="B951" t="inlineStr">
        <is>
          <t>6:44</t>
        </is>
      </c>
      <c r="C951" t="inlineStr">
        <is>
          <t>massages and Frank drives I can fix up</t>
        </is>
      </c>
      <c r="D951">
        <f>HYPERLINK("https://www.youtube.com/watch?v=PkeFMCyt7Pc&amp;t=404s", "Go to time")</f>
        <v/>
      </c>
    </row>
    <row r="952">
      <c r="A952">
        <f>HYPERLINK("https://www.youtube.com/watch?v=PkeFMCyt7Pc", "Video")</f>
        <v/>
      </c>
      <c r="B952" t="inlineStr">
        <is>
          <t>12:34</t>
        </is>
      </c>
      <c r="C952" t="inlineStr">
        <is>
          <t>hard drive built-in spreadsheet</t>
        </is>
      </c>
      <c r="D952">
        <f>HYPERLINK("https://www.youtube.com/watch?v=PkeFMCyt7Pc&amp;t=754s", "Go to time")</f>
        <v/>
      </c>
    </row>
    <row r="953">
      <c r="A953">
        <f>HYPERLINK("https://www.youtube.com/watch?v=zFm8fdJYtfg", "Video")</f>
        <v/>
      </c>
      <c r="B953" t="inlineStr">
        <is>
          <t>29:00</t>
        </is>
      </c>
      <c r="C953" t="inlineStr">
        <is>
          <t>Mb of ram 500 MB hard drive built-in</t>
        </is>
      </c>
      <c r="D953">
        <f>HYPERLINK("https://www.youtube.com/watch?v=zFm8fdJYtfg&amp;t=1740s", "Go to time")</f>
        <v/>
      </c>
    </row>
    <row r="954">
      <c r="A954">
        <f>HYPERLINK("https://www.youtube.com/watch?v=A2iD7ZUUHTM", "Video")</f>
        <v/>
      </c>
      <c r="B954" t="inlineStr">
        <is>
          <t>11:12</t>
        </is>
      </c>
      <c r="C954" t="inlineStr">
        <is>
          <t>okay uh you drive safe okay Ross what</t>
        </is>
      </c>
      <c r="D954">
        <f>HYPERLINK("https://www.youtube.com/watch?v=A2iD7ZUUHTM&amp;t=672s", "Go to time")</f>
        <v/>
      </c>
    </row>
    <row r="955">
      <c r="A955">
        <f>HYPERLINK("https://www.youtube.com/watch?v=A2iD7ZUUHTM", "Video")</f>
        <v/>
      </c>
      <c r="B955" t="inlineStr">
        <is>
          <t>17:27</t>
        </is>
      </c>
      <c r="C955" t="inlineStr">
        <is>
          <t>let us drive his Jaguar joy for 12</t>
        </is>
      </c>
      <c r="D955">
        <f>HYPERLINK("https://www.youtube.com/watch?v=A2iD7ZUUHTM&amp;t=1047s", "Go to time")</f>
        <v/>
      </c>
    </row>
    <row r="956">
      <c r="A956">
        <f>HYPERLINK("https://www.youtube.com/watch?v=cezuaA6nZ48", "Video")</f>
        <v/>
      </c>
      <c r="B956" t="inlineStr">
        <is>
          <t>4:14</t>
        </is>
      </c>
      <c r="C956" t="inlineStr">
        <is>
          <t>there I am going to go drive my</t>
        </is>
      </c>
      <c r="D956">
        <f>HYPERLINK("https://www.youtube.com/watch?v=cezuaA6nZ48&amp;t=254s", "Go to time")</f>
        <v/>
      </c>
    </row>
    <row r="957">
      <c r="A957">
        <f>HYPERLINK("https://www.youtube.com/watch?v=3QWX3Vtu5RQ", "Video")</f>
        <v/>
      </c>
      <c r="B957" t="inlineStr">
        <is>
          <t>0:56</t>
        </is>
      </c>
      <c r="C957" t="inlineStr">
        <is>
          <t>uncle all right we'll stay we just drive</t>
        </is>
      </c>
      <c r="D957">
        <f>HYPERLINK("https://www.youtube.com/watch?v=3QWX3Vtu5RQ&amp;t=56s", "Go to time")</f>
        <v/>
      </c>
    </row>
    <row r="958">
      <c r="A958">
        <f>HYPERLINK("https://www.youtube.com/watch?v=_6Nf6Ijgals", "Video")</f>
        <v/>
      </c>
      <c r="B958" t="inlineStr">
        <is>
          <t>21:09</t>
        </is>
      </c>
      <c r="C958" t="inlineStr">
        <is>
          <t>If you have lots of
drivers in San Francisco,</t>
        </is>
      </c>
      <c r="D958">
        <f>HYPERLINK("https://www.youtube.com/watch?v=_6Nf6Ijgals&amp;t=1269s", "Go to time")</f>
        <v/>
      </c>
    </row>
    <row r="959">
      <c r="A959">
        <f>HYPERLINK("https://www.youtube.com/watch?v=drOUyWaeNGQ", "Video")</f>
        <v/>
      </c>
      <c r="B959" t="inlineStr">
        <is>
          <t>9:04</t>
        </is>
      </c>
      <c r="C959" t="inlineStr">
        <is>
          <t>mostly driven by a sense of inequality</t>
        </is>
      </c>
      <c r="D959">
        <f>HYPERLINK("https://www.youtube.com/watch?v=drOUyWaeNGQ&amp;t=544s", "Go to time")</f>
        <v/>
      </c>
    </row>
    <row r="960">
      <c r="A960">
        <f>HYPERLINK("https://www.youtube.com/watch?v=drOUyWaeNGQ", "Video")</f>
        <v/>
      </c>
      <c r="B960" t="inlineStr">
        <is>
          <t>11:16</t>
        </is>
      </c>
      <c r="C960" t="inlineStr">
        <is>
          <t>drive reforms and change to</t>
        </is>
      </c>
      <c r="D960">
        <f>HYPERLINK("https://www.youtube.com/watch?v=drOUyWaeNGQ&amp;t=676s", "Go to time")</f>
        <v/>
      </c>
    </row>
    <row r="961">
      <c r="A961">
        <f>HYPERLINK("https://www.youtube.com/watch?v=drOUyWaeNGQ", "Video")</f>
        <v/>
      </c>
      <c r="B961" t="inlineStr">
        <is>
          <t>23:54</t>
        </is>
      </c>
      <c r="C961" t="inlineStr">
        <is>
          <t>driver for economic recovery on a global</t>
        </is>
      </c>
      <c r="D961">
        <f>HYPERLINK("https://www.youtube.com/watch?v=drOUyWaeNGQ&amp;t=1434s", "Go to time")</f>
        <v/>
      </c>
    </row>
    <row r="962">
      <c r="A962">
        <f>HYPERLINK("https://www.youtube.com/watch?v=BYZmyF8RyhY", "Video")</f>
        <v/>
      </c>
      <c r="B962" t="inlineStr">
        <is>
          <t>4:44</t>
        </is>
      </c>
      <c r="C962" t="inlineStr">
        <is>
          <t>That is, they had a long
and boring drive to work,</t>
        </is>
      </c>
      <c r="D962">
        <f>HYPERLINK("https://www.youtube.com/watch?v=BYZmyF8RyhY&amp;t=284s", "Go to time")</f>
        <v/>
      </c>
    </row>
    <row r="963">
      <c r="A963">
        <f>HYPERLINK("https://www.youtube.com/watch?v=BYZmyF8RyhY", "Video")</f>
        <v/>
      </c>
      <c r="B963" t="inlineStr">
        <is>
          <t>14:30</t>
        </is>
      </c>
      <c r="C963" t="inlineStr">
        <is>
          <t>drive and bring it home and put
it on and return it, and get</t>
        </is>
      </c>
      <c r="D963">
        <f>HYPERLINK("https://www.youtube.com/watch?v=BYZmyF8RyhY&amp;t=870s", "Go to time")</f>
        <v/>
      </c>
    </row>
    <row r="964">
      <c r="A964">
        <f>HYPERLINK("https://www.youtube.com/watch?v=QH8-P-Q8g50", "Video")</f>
        <v/>
      </c>
      <c r="B964" t="inlineStr">
        <is>
          <t>0:31</t>
        </is>
      </c>
      <c r="C964" t="inlineStr">
        <is>
          <t>Leading a team to
drive results, that's</t>
        </is>
      </c>
      <c r="D964">
        <f>HYPERLINK("https://www.youtube.com/watch?v=QH8-P-Q8g50&amp;t=31s", "Go to time")</f>
        <v/>
      </c>
    </row>
    <row r="965">
      <c r="A965">
        <f>HYPERLINK("https://www.youtube.com/watch?v=QH8-P-Q8g50", "Video")</f>
        <v/>
      </c>
      <c r="B965" t="inlineStr">
        <is>
          <t>2:27</t>
        </is>
      </c>
      <c r="C965" t="inlineStr">
        <is>
          <t>So we really have a lot of
manager-driven flexibility</t>
        </is>
      </c>
      <c r="D965">
        <f>HYPERLINK("https://www.youtube.com/watch?v=QH8-P-Q8g50&amp;t=147s", "Go to time")</f>
        <v/>
      </c>
    </row>
    <row r="966">
      <c r="A966">
        <f>HYPERLINK("https://www.youtube.com/watch?v=QH8-P-Q8g50", "Video")</f>
        <v/>
      </c>
      <c r="B966" t="inlineStr">
        <is>
          <t>2:32</t>
        </is>
      </c>
      <c r="C966" t="inlineStr">
        <is>
          <t>and manager-driven support
of work and family.</t>
        </is>
      </c>
      <c r="D966">
        <f>HYPERLINK("https://www.youtube.com/watch?v=QH8-P-Q8g50&amp;t=152s", "Go to time")</f>
        <v/>
      </c>
    </row>
    <row r="967">
      <c r="A967">
        <f>HYPERLINK("https://www.youtube.com/watch?v=iAMzp-jFymY", "Video")</f>
        <v/>
      </c>
      <c r="B967" t="inlineStr">
        <is>
          <t>1:00</t>
        </is>
      </c>
      <c r="C967" t="inlineStr">
        <is>
          <t>The primary addiction
for most drivers</t>
        </is>
      </c>
      <c r="D967">
        <f>HYPERLINK("https://www.youtube.com/watch?v=iAMzp-jFymY&amp;t=60s", "Go to time")</f>
        <v/>
      </c>
    </row>
    <row r="968">
      <c r="A968">
        <f>HYPERLINK("https://www.youtube.com/watch?v=5vljHeCB4ok", "Video")</f>
        <v/>
      </c>
      <c r="B968" t="inlineStr">
        <is>
          <t>11:01</t>
        </is>
      </c>
      <c r="C968" t="inlineStr">
        <is>
          <t>what's keeping me
from going on a drive?</t>
        </is>
      </c>
      <c r="D968">
        <f>HYPERLINK("https://www.youtube.com/watch?v=5vljHeCB4ok&amp;t=661s", "Go to time")</f>
        <v/>
      </c>
    </row>
    <row r="969">
      <c r="A969">
        <f>HYPERLINK("https://www.youtube.com/watch?v=5vljHeCB4ok", "Video")</f>
        <v/>
      </c>
      <c r="B969" t="inlineStr">
        <is>
          <t>11:09</t>
        </is>
      </c>
      <c r="C969" t="inlineStr">
        <is>
          <t>know what's keeping me
from going for a drive.</t>
        </is>
      </c>
      <c r="D969">
        <f>HYPERLINK("https://www.youtube.com/watch?v=5vljHeCB4ok&amp;t=669s", "Go to time")</f>
        <v/>
      </c>
    </row>
    <row r="970">
      <c r="A970">
        <f>HYPERLINK("https://www.youtube.com/watch?v=YUwN9dI8MIc", "Video")</f>
        <v/>
      </c>
      <c r="B970" t="inlineStr">
        <is>
          <t>2:23</t>
        </is>
      </c>
      <c r="C970" t="inlineStr">
        <is>
          <t>Cold weather is going to
drive more people inside,</t>
        </is>
      </c>
      <c r="D970">
        <f>HYPERLINK("https://www.youtube.com/watch?v=YUwN9dI8MIc&amp;t=143s", "Go to time")</f>
        <v/>
      </c>
    </row>
    <row r="971">
      <c r="A971">
        <f>HYPERLINK("https://www.youtube.com/watch?v=YUwN9dI8MIc", "Video")</f>
        <v/>
      </c>
      <c r="B971" t="inlineStr">
        <is>
          <t>13:31</t>
        </is>
      </c>
      <c r="C971" t="inlineStr">
        <is>
          <t>can drive your stock price up.</t>
        </is>
      </c>
      <c r="D971">
        <f>HYPERLINK("https://www.youtube.com/watch?v=YUwN9dI8MIc&amp;t=811s", "Go to time")</f>
        <v/>
      </c>
    </row>
    <row r="972">
      <c r="A972">
        <f>HYPERLINK("https://www.youtube.com/watch?v=jbj4wwchkcE", "Video")</f>
        <v/>
      </c>
      <c r="B972" t="inlineStr">
        <is>
          <t>3:32</t>
        </is>
      </c>
      <c r="C972" t="inlineStr">
        <is>
          <t>it's how do you drive change
through an organization?</t>
        </is>
      </c>
      <c r="D972">
        <f>HYPERLINK("https://www.youtube.com/watch?v=jbj4wwchkcE&amp;t=212s", "Go to time")</f>
        <v/>
      </c>
    </row>
    <row r="973">
      <c r="A973">
        <f>HYPERLINK("https://www.youtube.com/watch?v=jbj4wwchkcE", "Video")</f>
        <v/>
      </c>
      <c r="B973" t="inlineStr">
        <is>
          <t>5:31</t>
        </is>
      </c>
      <c r="C973" t="inlineStr">
        <is>
          <t>drives economic value
for the customer,</t>
        </is>
      </c>
      <c r="D973">
        <f>HYPERLINK("https://www.youtube.com/watch?v=jbj4wwchkcE&amp;t=331s", "Go to time")</f>
        <v/>
      </c>
    </row>
    <row r="974">
      <c r="A974">
        <f>HYPERLINK("https://www.youtube.com/watch?v=jbj4wwchkcE", "Video")</f>
        <v/>
      </c>
      <c r="B974" t="inlineStr">
        <is>
          <t>18:15</t>
        </is>
      </c>
      <c r="C974" t="inlineStr">
        <is>
          <t>that, actually, they should
have partly driven by time,</t>
        </is>
      </c>
      <c r="D974">
        <f>HYPERLINK("https://www.youtube.com/watch?v=jbj4wwchkcE&amp;t=1095s", "Go to time")</f>
        <v/>
      </c>
    </row>
    <row r="975">
      <c r="A975">
        <f>HYPERLINK("https://www.youtube.com/watch?v=jbj4wwchkcE", "Video")</f>
        <v/>
      </c>
      <c r="B975" t="inlineStr">
        <is>
          <t>21:22</t>
        </is>
      </c>
      <c r="C975" t="inlineStr">
        <is>
          <t>And it increasingly drives
investor decisions and things.</t>
        </is>
      </c>
      <c r="D975">
        <f>HYPERLINK("https://www.youtube.com/watch?v=jbj4wwchkcE&amp;t=1282s", "Go to time")</f>
        <v/>
      </c>
    </row>
    <row r="976">
      <c r="A976">
        <f>HYPERLINK("https://www.youtube.com/watch?v=jbj4wwchkcE", "Video")</f>
        <v/>
      </c>
      <c r="B976" t="inlineStr">
        <is>
          <t>27:16</t>
        </is>
      </c>
      <c r="C976" t="inlineStr">
        <is>
          <t>to solve the client problem;
the way we drive curiosity</t>
        </is>
      </c>
      <c r="D976">
        <f>HYPERLINK("https://www.youtube.com/watch?v=jbj4wwchkcE&amp;t=1636s", "Go to time")</f>
        <v/>
      </c>
    </row>
    <row r="977">
      <c r="A977">
        <f>HYPERLINK("https://www.youtube.com/watch?v=jbj4wwchkcE", "Video")</f>
        <v/>
      </c>
      <c r="B977" t="inlineStr">
        <is>
          <t>31:54</t>
        </is>
      </c>
      <c r="C977" t="inlineStr">
        <is>
          <t>because our job is to help
our clients drive change.</t>
        </is>
      </c>
      <c r="D977">
        <f>HYPERLINK("https://www.youtube.com/watch?v=jbj4wwchkcE&amp;t=1914s", "Go to time")</f>
        <v/>
      </c>
    </row>
    <row r="978">
      <c r="A978">
        <f>HYPERLINK("https://www.youtube.com/watch?v=jbj4wwchkcE", "Video")</f>
        <v/>
      </c>
      <c r="B978" t="inlineStr">
        <is>
          <t>33:32</t>
        </is>
      </c>
      <c r="C978" t="inlineStr">
        <is>
          <t>And I'm a big believer that
culture drives everything.</t>
        </is>
      </c>
      <c r="D978">
        <f>HYPERLINK("https://www.youtube.com/watch?v=jbj4wwchkcE&amp;t=2012s", "Go to time")</f>
        <v/>
      </c>
    </row>
    <row r="979">
      <c r="A979">
        <f>HYPERLINK("https://www.youtube.com/watch?v=kGMGjXQOYxs", "Video")</f>
        <v/>
      </c>
      <c r="B979" t="inlineStr">
        <is>
          <t>7:40</t>
        </is>
      </c>
      <c r="C979" t="inlineStr">
        <is>
          <t>but you may discover what
drives their behavior,</t>
        </is>
      </c>
      <c r="D979">
        <f>HYPERLINK("https://www.youtube.com/watch?v=kGMGjXQOYxs&amp;t=460s", "Go to time")</f>
        <v/>
      </c>
    </row>
    <row r="980">
      <c r="A980">
        <f>HYPERLINK("https://www.youtube.com/watch?v=CKuY8x2gcpE", "Video")</f>
        <v/>
      </c>
      <c r="B980" t="inlineStr">
        <is>
          <t>1:17</t>
        </is>
      </c>
      <c r="C980" t="inlineStr">
        <is>
          <t>mission-driven teams."</t>
        </is>
      </c>
      <c r="D980">
        <f>HYPERLINK("https://www.youtube.com/watch?v=CKuY8x2gcpE&amp;t=77s", "Go to time")</f>
        <v/>
      </c>
    </row>
    <row r="981">
      <c r="A981">
        <f>HYPERLINK("https://www.youtube.com/watch?v=qDrMAzCHFUU", "Video")</f>
        <v/>
      </c>
      <c r="B981" t="inlineStr">
        <is>
          <t>4:43</t>
        </is>
      </c>
      <c r="C981" t="inlineStr">
        <is>
          <t>drivel from academics you know but</t>
        </is>
      </c>
      <c r="D981">
        <f>HYPERLINK("https://www.youtube.com/watch?v=qDrMAzCHFUU&amp;t=283s", "Go to time")</f>
        <v/>
      </c>
    </row>
    <row r="982">
      <c r="A982">
        <f>HYPERLINK("https://www.youtube.com/watch?v=qDrMAzCHFUU", "Video")</f>
        <v/>
      </c>
      <c r="B982" t="inlineStr">
        <is>
          <t>6:55</t>
        </is>
      </c>
      <c r="C982" t="inlineStr">
        <is>
          <t>should be data-driven and fact-based and</t>
        </is>
      </c>
      <c r="D982">
        <f>HYPERLINK("https://www.youtube.com/watch?v=qDrMAzCHFUU&amp;t=415s", "Go to time")</f>
        <v/>
      </c>
    </row>
    <row r="983">
      <c r="A983">
        <f>HYPERLINK("https://www.youtube.com/watch?v=LKKkaqsd_iQ", "Video")</f>
        <v/>
      </c>
      <c r="B983" t="inlineStr">
        <is>
          <t>2:16</t>
        </is>
      </c>
      <c r="C983" t="inlineStr">
        <is>
          <t>Way, the Radical Mindset that
Drives Extraordinary Results.</t>
        </is>
      </c>
      <c r="D983">
        <f>HYPERLINK("https://www.youtube.com/watch?v=LKKkaqsd_iQ&amp;t=136s", "Go to time")</f>
        <v/>
      </c>
    </row>
    <row r="984">
      <c r="A984">
        <f>HYPERLINK("https://www.youtube.com/watch?v=LKKkaqsd_iQ", "Video")</f>
        <v/>
      </c>
      <c r="B984" t="inlineStr">
        <is>
          <t>9:03</t>
        </is>
      </c>
      <c r="C984" t="inlineStr">
        <is>
          <t>evidence-driven and
pretty egalitarian.</t>
        </is>
      </c>
      <c r="D984">
        <f>HYPERLINK("https://www.youtube.com/watch?v=LKKkaqsd_iQ&amp;t=543s", "Go to time")</f>
        <v/>
      </c>
    </row>
    <row r="985">
      <c r="A985">
        <f>HYPERLINK("https://www.youtube.com/watch?v=Cz3dV0TTSQc", "Video")</f>
        <v/>
      </c>
      <c r="B985" t="inlineStr">
        <is>
          <t>22:00</t>
        </is>
      </c>
      <c r="C985" t="inlineStr">
        <is>
          <t>And it drives me crazy that
if you rewind back to March,</t>
        </is>
      </c>
      <c r="D985">
        <f>HYPERLINK("https://www.youtube.com/watch?v=Cz3dV0TTSQc&amp;t=1320s", "Go to time")</f>
        <v/>
      </c>
    </row>
    <row r="986">
      <c r="A986">
        <f>HYPERLINK("https://www.youtube.com/watch?v=Cz3dV0TTSQc", "Video")</f>
        <v/>
      </c>
      <c r="B986" t="inlineStr">
        <is>
          <t>31:27</t>
        </is>
      </c>
      <c r="C986" t="inlineStr">
        <is>
          <t>It was a student-driven idea
that students should volunteer</t>
        </is>
      </c>
      <c r="D986">
        <f>HYPERLINK("https://www.youtube.com/watch?v=Cz3dV0TTSQc&amp;t=1887s", "Go to time")</f>
        <v/>
      </c>
    </row>
    <row r="987">
      <c r="A987">
        <f>HYPERLINK("https://www.youtube.com/watch?v=Cz3dV0TTSQc", "Video")</f>
        <v/>
      </c>
      <c r="B987" t="inlineStr">
        <is>
          <t>35:40</t>
        </is>
      </c>
      <c r="C987" t="inlineStr">
        <is>
          <t>tend to drive people apart.</t>
        </is>
      </c>
      <c r="D987">
        <f>HYPERLINK("https://www.youtube.com/watch?v=Cz3dV0TTSQc&amp;t=2140s", "Go to time")</f>
        <v/>
      </c>
    </row>
    <row r="988">
      <c r="A988">
        <f>HYPERLINK("https://www.youtube.com/watch?v=oq3FR3IyLR0", "Video")</f>
        <v/>
      </c>
      <c r="B988" t="inlineStr">
        <is>
          <t>9:43</t>
        </is>
      </c>
      <c r="C988" t="inlineStr">
        <is>
          <t>So everything we put forward
is science-based, data-driven.</t>
        </is>
      </c>
      <c r="D988">
        <f>HYPERLINK("https://www.youtube.com/watch?v=oq3FR3IyLR0&amp;t=583s", "Go to time")</f>
        <v/>
      </c>
    </row>
    <row r="989">
      <c r="A989">
        <f>HYPERLINK("https://www.youtube.com/watch?v=ver3FZuOkcc", "Video")</f>
        <v/>
      </c>
      <c r="B989" t="inlineStr">
        <is>
          <t>0:44</t>
        </is>
      </c>
      <c r="C989" t="inlineStr">
        <is>
          <t>motivations know what drives each team</t>
        </is>
      </c>
      <c r="D989">
        <f>HYPERLINK("https://www.youtube.com/watch?v=ver3FZuOkcc&amp;t=44s", "Go to time")</f>
        <v/>
      </c>
    </row>
    <row r="990">
      <c r="A990">
        <f>HYPERLINK("https://www.youtube.com/watch?v=wjy_GCrZTnQ", "Video")</f>
        <v/>
      </c>
      <c r="B990" t="inlineStr">
        <is>
          <t>6:51</t>
        </is>
      </c>
      <c r="C990" t="inlineStr">
        <is>
          <t>you drive down the highway and you see</t>
        </is>
      </c>
      <c r="D990">
        <f>HYPERLINK("https://www.youtube.com/watch?v=wjy_GCrZTnQ&amp;t=411s", "Go to time")</f>
        <v/>
      </c>
    </row>
    <row r="991">
      <c r="A991">
        <f>HYPERLINK("https://www.youtube.com/watch?v=wjy_GCrZTnQ", "Video")</f>
        <v/>
      </c>
      <c r="B991" t="inlineStr">
        <is>
          <t>7:36</t>
        </is>
      </c>
      <c r="C991" t="inlineStr">
        <is>
          <t>and what has driven you in terms of the</t>
        </is>
      </c>
      <c r="D991">
        <f>HYPERLINK("https://www.youtube.com/watch?v=wjy_GCrZTnQ&amp;t=456s", "Go to time")</f>
        <v/>
      </c>
    </row>
    <row r="992">
      <c r="A992">
        <f>HYPERLINK("https://www.youtube.com/watch?v=wjy_GCrZTnQ", "Video")</f>
        <v/>
      </c>
      <c r="B992" t="inlineStr">
        <is>
          <t>7:50</t>
        </is>
      </c>
      <c r="C992" t="inlineStr">
        <is>
          <t>is my personal drive my personal mission</t>
        </is>
      </c>
      <c r="D992">
        <f>HYPERLINK("https://www.youtube.com/watch?v=wjy_GCrZTnQ&amp;t=470s", "Go to time")</f>
        <v/>
      </c>
    </row>
    <row r="993">
      <c r="A993">
        <f>HYPERLINK("https://www.youtube.com/watch?v=wjy_GCrZTnQ", "Video")</f>
        <v/>
      </c>
      <c r="B993" t="inlineStr">
        <is>
          <t>8:33</t>
        </is>
      </c>
      <c r="C993" t="inlineStr">
        <is>
          <t>things that drives me is my sense of</t>
        </is>
      </c>
      <c r="D993">
        <f>HYPERLINK("https://www.youtube.com/watch?v=wjy_GCrZTnQ&amp;t=513s", "Go to time")</f>
        <v/>
      </c>
    </row>
    <row r="994">
      <c r="A994">
        <f>HYPERLINK("https://www.youtube.com/watch?v=wjy_GCrZTnQ", "Video")</f>
        <v/>
      </c>
      <c r="B994" t="inlineStr">
        <is>
          <t>17:52</t>
        </is>
      </c>
      <c r="C994" t="inlineStr">
        <is>
          <t>relevant to create insights and to drive</t>
        </is>
      </c>
      <c r="D994">
        <f>HYPERLINK("https://www.youtube.com/watch?v=wjy_GCrZTnQ&amp;t=1072s", "Go to time")</f>
        <v/>
      </c>
    </row>
    <row r="995">
      <c r="A995">
        <f>HYPERLINK("https://www.youtube.com/watch?v=wjy_GCrZTnQ", "Video")</f>
        <v/>
      </c>
      <c r="B995" t="inlineStr">
        <is>
          <t>18:02</t>
        </is>
      </c>
      <c r="C995" t="inlineStr">
        <is>
          <t>can drive these things given the</t>
        </is>
      </c>
      <c r="D995">
        <f>HYPERLINK("https://www.youtube.com/watch?v=wjy_GCrZTnQ&amp;t=1082s", "Go to time")</f>
        <v/>
      </c>
    </row>
    <row r="996">
      <c r="A996">
        <f>HYPERLINK("https://www.youtube.com/watch?v=wjy_GCrZTnQ", "Video")</f>
        <v/>
      </c>
      <c r="B996" t="inlineStr">
        <is>
          <t>46:36</t>
        </is>
      </c>
      <c r="C996" t="inlineStr">
        <is>
          <t>remembering what drives you and all that</t>
        </is>
      </c>
      <c r="D996">
        <f>HYPERLINK("https://www.youtube.com/watch?v=wjy_GCrZTnQ&amp;t=2796s", "Go to time")</f>
        <v/>
      </c>
    </row>
    <row r="997">
      <c r="A997">
        <f>HYPERLINK("https://www.youtube.com/watch?v=8yPmAMt9IkQ", "Video")</f>
        <v/>
      </c>
      <c r="B997" t="inlineStr">
        <is>
          <t>29:39</t>
        </is>
      </c>
      <c r="C997" t="inlineStr">
        <is>
          <t>things some of them are clearly driven</t>
        </is>
      </c>
      <c r="D997">
        <f>HYPERLINK("https://www.youtube.com/watch?v=8yPmAMt9IkQ&amp;t=1779s", "Go to time")</f>
        <v/>
      </c>
    </row>
    <row r="998">
      <c r="A998">
        <f>HYPERLINK("https://www.youtube.com/watch?v=8yPmAMt9IkQ", "Video")</f>
        <v/>
      </c>
      <c r="B998" t="inlineStr">
        <is>
          <t>29:42</t>
        </is>
      </c>
      <c r="C998" t="inlineStr">
        <is>
          <t>by science but a lot of them is driven</t>
        </is>
      </c>
      <c r="D998">
        <f>HYPERLINK("https://www.youtube.com/watch?v=8yPmAMt9IkQ&amp;t=1782s", "Go to time")</f>
        <v/>
      </c>
    </row>
    <row r="999">
      <c r="A999">
        <f>HYPERLINK("https://www.youtube.com/watch?v=8yPmAMt9IkQ", "Video")</f>
        <v/>
      </c>
      <c r="B999" t="inlineStr">
        <is>
          <t>31:25</t>
        </is>
      </c>
      <c r="C999" t="inlineStr">
        <is>
          <t>day one there is no ROI that will drive</t>
        </is>
      </c>
      <c r="D999">
        <f>HYPERLINK("https://www.youtube.com/watch?v=8yPmAMt9IkQ&amp;t=1885s", "Go to time")</f>
        <v/>
      </c>
    </row>
    <row r="1000">
      <c r="A1000">
        <f>HYPERLINK("https://www.youtube.com/watch?v=qFhaQDikLWE", "Video")</f>
        <v/>
      </c>
      <c r="B1000" t="inlineStr">
        <is>
          <t>11:16</t>
        </is>
      </c>
      <c r="C1000" t="inlineStr">
        <is>
          <t>is what drives the incentives.</t>
        </is>
      </c>
      <c r="D1000">
        <f>HYPERLINK("https://www.youtube.com/watch?v=qFhaQDikLWE&amp;t=676s", "Go to time")</f>
        <v/>
      </c>
    </row>
    <row r="1001">
      <c r="A1001">
        <f>HYPERLINK("https://www.youtube.com/watch?v=qFhaQDikLWE", "Video")</f>
        <v/>
      </c>
      <c r="B1001" t="inlineStr">
        <is>
          <t>12:19</t>
        </is>
      </c>
      <c r="C1001" t="inlineStr">
        <is>
          <t>which is what drives
accountability in any industry.</t>
        </is>
      </c>
      <c r="D1001">
        <f>HYPERLINK("https://www.youtube.com/watch?v=qFhaQDikLWE&amp;t=739s", "Go to time")</f>
        <v/>
      </c>
    </row>
    <row r="1002">
      <c r="A1002">
        <f>HYPERLINK("https://www.youtube.com/watch?v=JycpDC_qYLw", "Video")</f>
        <v/>
      </c>
      <c r="B1002" t="inlineStr">
        <is>
          <t>2:12</t>
        </is>
      </c>
      <c r="C1002" t="inlineStr">
        <is>
          <t>They hired their
own drivers, which</t>
        </is>
      </c>
      <c r="D1002">
        <f>HYPERLINK("https://www.youtube.com/watch?v=JycpDC_qYLw&amp;t=132s", "Go to time")</f>
        <v/>
      </c>
    </row>
    <row r="1003">
      <c r="A1003">
        <f>HYPERLINK("https://www.youtube.com/watch?v=340_NJxSyi4", "Video")</f>
        <v/>
      </c>
      <c r="B1003" t="inlineStr">
        <is>
          <t>5:28</t>
        </is>
      </c>
      <c r="C1003" t="inlineStr">
        <is>
          <t>in our technology be
driven by manual processes.</t>
        </is>
      </c>
      <c r="D1003">
        <f>HYPERLINK("https://www.youtube.com/watch?v=340_NJxSyi4&amp;t=328s", "Go to time")</f>
        <v/>
      </c>
    </row>
    <row r="1004">
      <c r="A1004">
        <f>HYPERLINK("https://www.youtube.com/watch?v=mYF2_FBCvXw", "Video")</f>
        <v/>
      </c>
      <c r="B1004" t="inlineStr">
        <is>
          <t>1:20</t>
        </is>
      </c>
      <c r="C1004" t="inlineStr">
        <is>
          <t>the structural underlying drivers of profitability
and competence.</t>
        </is>
      </c>
      <c r="D1004">
        <f>HYPERLINK("https://www.youtube.com/watch?v=mYF2_FBCvXw&amp;t=80s", "Go to time")</f>
        <v/>
      </c>
    </row>
    <row r="1005">
      <c r="A1005">
        <f>HYPERLINK("https://www.youtube.com/watch?v=mYF2_FBCvXw", "Video")</f>
        <v/>
      </c>
      <c r="B1005" t="inlineStr">
        <is>
          <t>1:37</t>
        </is>
      </c>
      <c r="C1005" t="inlineStr">
        <is>
          <t>&gt;&gt; PORTER: The buyers and suppliers, and there
is underlying drivers of each of those forces</t>
        </is>
      </c>
      <c r="D1005">
        <f>HYPERLINK("https://www.youtube.com/watch?v=mYF2_FBCvXw&amp;t=97s", "Go to time")</f>
        <v/>
      </c>
    </row>
    <row r="1006">
      <c r="A1006">
        <f>HYPERLINK("https://www.youtube.com/watch?v=mYF2_FBCvXw", "Video")</f>
        <v/>
      </c>
      <c r="B1006" t="inlineStr">
        <is>
          <t>3:31</t>
        </is>
      </c>
      <c r="C1006" t="inlineStr">
        <is>
          <t>The underlying structure is what drives profitability.</t>
        </is>
      </c>
      <c r="D1006">
        <f>HYPERLINK("https://www.youtube.com/watch?v=mYF2_FBCvXw&amp;t=211s", "Go to time")</f>
        <v/>
      </c>
    </row>
    <row r="1007">
      <c r="A1007">
        <f>HYPERLINK("https://www.youtube.com/watch?v=mYF2_FBCvXw", "Video")</f>
        <v/>
      </c>
      <c r="B1007" t="inlineStr">
        <is>
          <t>5:00</t>
        </is>
      </c>
      <c r="C1007" t="inlineStr">
        <is>
          <t>drivers that is going to really shape the
profit potential of this industry and then</t>
        </is>
      </c>
      <c r="D1007">
        <f>HYPERLINK("https://www.youtube.com/watch?v=mYF2_FBCvXw&amp;t=300s", "Go to time")</f>
        <v/>
      </c>
    </row>
    <row r="1008">
      <c r="A1008">
        <f>HYPERLINK("https://www.youtube.com/watch?v=mYF2_FBCvXw", "Video")</f>
        <v/>
      </c>
      <c r="B1008" t="inlineStr">
        <is>
          <t>8:39</t>
        </is>
      </c>
      <c r="C1008" t="inlineStr">
        <is>
          <t>if you do not know what the drivers or competition
are, strategy is going to be marginally useful,</t>
        </is>
      </c>
      <c r="D1008">
        <f>HYPERLINK("https://www.youtube.com/watch?v=mYF2_FBCvXw&amp;t=519s", "Go to time")</f>
        <v/>
      </c>
    </row>
    <row r="1009">
      <c r="A1009">
        <f>HYPERLINK("https://www.youtube.com/watch?v=mYF2_FBCvXw", "Video")</f>
        <v/>
      </c>
      <c r="B1009" t="inlineStr">
        <is>
          <t>11:23</t>
        </is>
      </c>
      <c r="C1009" t="inlineStr">
        <is>
          <t>to drive your company is well understood quite
broadly because the number one purpose of</t>
        </is>
      </c>
      <c r="D1009">
        <f>HYPERLINK("https://www.youtube.com/watch?v=mYF2_FBCvXw&amp;t=683s", "Go to time")</f>
        <v/>
      </c>
    </row>
    <row r="1010">
      <c r="A1010">
        <f>HYPERLINK("https://www.youtube.com/watch?v=X_F3xdIMKxs", "Video")</f>
        <v/>
      </c>
      <c r="B1010" t="inlineStr">
        <is>
          <t>14:23</t>
        </is>
      </c>
      <c r="C1010" t="inlineStr">
        <is>
          <t>It's got to be safer
than a human driver.</t>
        </is>
      </c>
      <c r="D1010">
        <f>HYPERLINK("https://www.youtube.com/watch?v=X_F3xdIMKxs&amp;t=863s", "Go to time")</f>
        <v/>
      </c>
    </row>
    <row r="1011">
      <c r="A1011">
        <f>HYPERLINK("https://www.youtube.com/watch?v=X_F3xdIMKxs", "Video")</f>
        <v/>
      </c>
      <c r="B1011" t="inlineStr">
        <is>
          <t>14:29</t>
        </is>
      </c>
      <c r="C1011" t="inlineStr">
        <is>
          <t>It doesn't drive
impaired or distracted.</t>
        </is>
      </c>
      <c r="D1011">
        <f>HYPERLINK("https://www.youtube.com/watch?v=X_F3xdIMKxs&amp;t=869s", "Go to time")</f>
        <v/>
      </c>
    </row>
    <row r="1012">
      <c r="A1012">
        <f>HYPERLINK("https://www.youtube.com/watch?v=X_F3xdIMKxs", "Video")</f>
        <v/>
      </c>
      <c r="B1012" t="inlineStr">
        <is>
          <t>15:40</t>
        </is>
      </c>
      <c r="C1012" t="inlineStr">
        <is>
          <t>How do you work with
government to drive a change</t>
        </is>
      </c>
      <c r="D1012">
        <f>HYPERLINK("https://www.youtube.com/watch?v=X_F3xdIMKxs&amp;t=940s", "Go to time")</f>
        <v/>
      </c>
    </row>
    <row r="1013">
      <c r="A1013">
        <f>HYPERLINK("https://www.youtube.com/watch?v=X_F3xdIMKxs", "Video")</f>
        <v/>
      </c>
      <c r="B1013" t="inlineStr">
        <is>
          <t>20:41</t>
        </is>
      </c>
      <c r="C1013" t="inlineStr">
        <is>
          <t>We have a tool called
Shop click drive.</t>
        </is>
      </c>
      <c r="D1013">
        <f>HYPERLINK("https://www.youtube.com/watch?v=X_F3xdIMKxs&amp;t=1241s", "Go to time")</f>
        <v/>
      </c>
    </row>
    <row r="1014">
      <c r="A1014">
        <f>HYPERLINK("https://www.youtube.com/watch?v=H7vEtwRvyr8", "Video")</f>
        <v/>
      </c>
      <c r="B1014" t="inlineStr">
        <is>
          <t>2:33</t>
        </is>
      </c>
      <c r="C1014" t="inlineStr">
        <is>
          <t>Since every decision is driven
by the next increasingly</t>
        </is>
      </c>
      <c r="D1014">
        <f>HYPERLINK("https://www.youtube.com/watch?v=H7vEtwRvyr8&amp;t=153s", "Go to time")</f>
        <v/>
      </c>
    </row>
    <row r="1015">
      <c r="A1015">
        <f>HYPERLINK("https://www.youtube.com/watch?v=GuzSM88qWko", "Video")</f>
        <v/>
      </c>
      <c r="B1015" t="inlineStr">
        <is>
          <t>11:03</t>
        </is>
      </c>
      <c r="C1015" t="inlineStr">
        <is>
          <t>driven organization.</t>
        </is>
      </c>
      <c r="D1015">
        <f>HYPERLINK("https://www.youtube.com/watch?v=GuzSM88qWko&amp;t=663s", "Go to time")</f>
        <v/>
      </c>
    </row>
    <row r="1016">
      <c r="A1016">
        <f>HYPERLINK("https://www.youtube.com/watch?v=GuzSM88qWko", "Video")</f>
        <v/>
      </c>
      <c r="B1016" t="inlineStr">
        <is>
          <t>11:04</t>
        </is>
      </c>
      <c r="C1016" t="inlineStr">
        <is>
          <t>We always think that
nonprofits are mission driven</t>
        </is>
      </c>
      <c r="D1016">
        <f>HYPERLINK("https://www.youtube.com/watch?v=GuzSM88qWko&amp;t=664s", "Go to time")</f>
        <v/>
      </c>
    </row>
    <row r="1017">
      <c r="A1017">
        <f>HYPERLINK("https://www.youtube.com/watch?v=GuzSM88qWko", "Video")</f>
        <v/>
      </c>
      <c r="B1017" t="inlineStr">
        <is>
          <t>11:07</t>
        </is>
      </c>
      <c r="C1017" t="inlineStr">
        <is>
          <t>and business is profit driven.</t>
        </is>
      </c>
      <c r="D1017">
        <f>HYPERLINK("https://www.youtube.com/watch?v=GuzSM88qWko&amp;t=667s", "Go to time")</f>
        <v/>
      </c>
    </row>
    <row r="1018">
      <c r="A1018">
        <f>HYPERLINK("https://www.youtube.com/watch?v=GuzSM88qWko", "Video")</f>
        <v/>
      </c>
      <c r="B1018" t="inlineStr">
        <is>
          <t>11:10</t>
        </is>
      </c>
      <c r="C1018" t="inlineStr">
        <is>
          <t>towards the mission driven
ideal, as you're describing it.</t>
        </is>
      </c>
      <c r="D1018">
        <f>HYPERLINK("https://www.youtube.com/watch?v=GuzSM88qWko&amp;t=670s", "Go to time")</f>
        <v/>
      </c>
    </row>
    <row r="1019">
      <c r="A1019">
        <f>HYPERLINK("https://www.youtube.com/watch?v=GuzSM88qWko", "Video")</f>
        <v/>
      </c>
      <c r="B1019" t="inlineStr">
        <is>
          <t>11:15</t>
        </is>
      </c>
      <c r="C1019" t="inlineStr">
        <is>
          <t>I think it was very much
of a mission driven.</t>
        </is>
      </c>
      <c r="D1019">
        <f>HYPERLINK("https://www.youtube.com/watch?v=GuzSM88qWko&amp;t=675s", "Go to time")</f>
        <v/>
      </c>
    </row>
    <row r="1020">
      <c r="A1020">
        <f>HYPERLINK("https://www.youtube.com/watch?v=RK2IfGPSqO0", "Video")</f>
        <v/>
      </c>
      <c r="B1020" t="inlineStr">
        <is>
          <t>2:33</t>
        </is>
      </c>
      <c r="C1020" t="inlineStr">
        <is>
          <t>for example a prolonged crisis can drive</t>
        </is>
      </c>
      <c r="D1020">
        <f>HYPERLINK("https://www.youtube.com/watch?v=RK2IfGPSqO0&amp;t=153s", "Go to time")</f>
        <v/>
      </c>
    </row>
    <row r="1021">
      <c r="A1021">
        <f>HYPERLINK("https://www.youtube.com/watch?v=ump7Kge05ZE", "Video")</f>
        <v/>
      </c>
      <c r="B1021" t="inlineStr">
        <is>
          <t>2:17</t>
        </is>
      </c>
      <c r="C1021" t="inlineStr">
        <is>
          <t>your neighbor could drive maybe 2.7</t>
        </is>
      </c>
      <c r="D1021">
        <f>HYPERLINK("https://www.youtube.com/watch?v=ump7Kge05ZE&amp;t=137s", "Go to time")</f>
        <v/>
      </c>
    </row>
    <row r="1022">
      <c r="A1022">
        <f>HYPERLINK("https://www.youtube.com/watch?v=5lWQ_YXeVVQ", "Video")</f>
        <v/>
      </c>
      <c r="B1022" t="inlineStr">
        <is>
          <t>0:46</t>
        </is>
      </c>
      <c r="C1022" t="inlineStr">
        <is>
          <t>He's been mission-driven
for a long time</t>
        </is>
      </c>
      <c r="D1022">
        <f>HYPERLINK("https://www.youtube.com/watch?v=5lWQ_YXeVVQ&amp;t=46s", "Go to time")</f>
        <v/>
      </c>
    </row>
    <row r="1023">
      <c r="A1023">
        <f>HYPERLINK("https://www.youtube.com/watch?v=5lWQ_YXeVVQ", "Video")</f>
        <v/>
      </c>
      <c r="B1023" t="inlineStr">
        <is>
          <t>22:00</t>
        </is>
      </c>
      <c r="C1023" t="inlineStr">
        <is>
          <t>you were very driven to
perform, to show the value.</t>
        </is>
      </c>
      <c r="D1023">
        <f>HYPERLINK("https://www.youtube.com/watch?v=5lWQ_YXeVVQ&amp;t=1320s", "Go to time")</f>
        <v/>
      </c>
    </row>
    <row r="1024">
      <c r="A1024">
        <f>HYPERLINK("https://www.youtube.com/watch?v=5lWQ_YXeVVQ", "Video")</f>
        <v/>
      </c>
      <c r="B1024" t="inlineStr">
        <is>
          <t>27:59</t>
        </is>
      </c>
      <c r="C1024" t="inlineStr">
        <is>
          <t>going to continue to drive you?</t>
        </is>
      </c>
      <c r="D1024">
        <f>HYPERLINK("https://www.youtube.com/watch?v=5lWQ_YXeVVQ&amp;t=1679s", "Go to time")</f>
        <v/>
      </c>
    </row>
    <row r="1025">
      <c r="A1025">
        <f>HYPERLINK("https://www.youtube.com/watch?v=5lWQ_YXeVVQ", "Video")</f>
        <v/>
      </c>
      <c r="B1025" t="inlineStr">
        <is>
          <t>47:37</t>
        </is>
      </c>
      <c r="C1025" t="inlineStr">
        <is>
          <t>It's like when you
drive a car, you</t>
        </is>
      </c>
      <c r="D1025">
        <f>HYPERLINK("https://www.youtube.com/watch?v=5lWQ_YXeVVQ&amp;t=2857s", "Go to time")</f>
        <v/>
      </c>
    </row>
    <row r="1026">
      <c r="A1026">
        <f>HYPERLINK("https://www.youtube.com/watch?v=5lWQ_YXeVVQ", "Video")</f>
        <v/>
      </c>
      <c r="B1026" t="inlineStr">
        <is>
          <t>47:41</t>
        </is>
      </c>
      <c r="C1026" t="inlineStr">
        <is>
          <t>The car still drives, but
they're out of alignment.</t>
        </is>
      </c>
      <c r="D1026">
        <f>HYPERLINK("https://www.youtube.com/watch?v=5lWQ_YXeVVQ&amp;t=2861s", "Go to time")</f>
        <v/>
      </c>
    </row>
    <row r="1027">
      <c r="A1027">
        <f>HYPERLINK("https://www.youtube.com/watch?v=DnlT43lxjSg", "Video")</f>
        <v/>
      </c>
      <c r="B1027" t="inlineStr">
        <is>
          <t>2:35</t>
        </is>
      </c>
      <c r="C1027" t="inlineStr">
        <is>
          <t>of the rude things i said to the driver</t>
        </is>
      </c>
      <c r="D1027">
        <f>HYPERLINK("https://www.youtube.com/watch?v=DnlT43lxjSg&amp;t=155s", "Go to time")</f>
        <v/>
      </c>
    </row>
    <row r="1028">
      <c r="A1028">
        <f>HYPERLINK("https://www.youtube.com/watch?v=H9-JUHrEgF0", "Video")</f>
        <v/>
      </c>
      <c r="B1028" t="inlineStr">
        <is>
          <t>6:03</t>
        </is>
      </c>
      <c r="C1028" t="inlineStr">
        <is>
          <t>it helps drive the discussion.</t>
        </is>
      </c>
      <c r="D1028">
        <f>HYPERLINK("https://www.youtube.com/watch?v=H9-JUHrEgF0&amp;t=363s", "Go to time")</f>
        <v/>
      </c>
    </row>
    <row r="1029">
      <c r="A1029">
        <f>HYPERLINK("https://www.youtube.com/watch?v=JrwuTl4Igic", "Video")</f>
        <v/>
      </c>
      <c r="B1029" t="inlineStr">
        <is>
          <t>3:09</t>
        </is>
      </c>
      <c r="C1029" t="inlineStr">
        <is>
          <t>so we're going to drive a
truck right through that</t>
        </is>
      </c>
      <c r="D1029">
        <f>HYPERLINK("https://www.youtube.com/watch?v=JrwuTl4Igic&amp;t=189s", "Go to time")</f>
        <v/>
      </c>
    </row>
    <row r="1030">
      <c r="A1030">
        <f>HYPERLINK("https://www.youtube.com/watch?v=rVtY_fyS9kI", "Video")</f>
        <v/>
      </c>
      <c r="B1030" t="inlineStr">
        <is>
          <t>10:35</t>
        </is>
      </c>
      <c r="C1030" t="inlineStr">
        <is>
          <t>issues that they really drive the</t>
        </is>
      </c>
      <c r="D1030">
        <f>HYPERLINK("https://www.youtube.com/watch?v=rVtY_fyS9kI&amp;t=635s", "Go to time")</f>
        <v/>
      </c>
    </row>
    <row r="1031">
      <c r="A1031">
        <f>HYPERLINK("https://www.youtube.com/watch?v=rVtY_fyS9kI", "Video")</f>
        <v/>
      </c>
      <c r="B1031" t="inlineStr">
        <is>
          <t>36:10</t>
        </is>
      </c>
      <c r="C1031" t="inlineStr">
        <is>
          <t>process to actually drive resolution</t>
        </is>
      </c>
      <c r="D1031">
        <f>HYPERLINK("https://www.youtube.com/watch?v=rVtY_fyS9kI&amp;t=2170s", "Go to time")</f>
        <v/>
      </c>
    </row>
    <row r="1032">
      <c r="A1032">
        <f>HYPERLINK("https://www.youtube.com/watch?v=rVtY_fyS9kI", "Video")</f>
        <v/>
      </c>
      <c r="B1032" t="inlineStr">
        <is>
          <t>36:19</t>
        </is>
      </c>
      <c r="C1032" t="inlineStr">
        <is>
          <t>appropriate person to actually Drive</t>
        </is>
      </c>
      <c r="D1032">
        <f>HYPERLINK("https://www.youtube.com/watch?v=rVtY_fyS9kI&amp;t=2179s", "Go to time")</f>
        <v/>
      </c>
    </row>
    <row r="1033">
      <c r="A1033">
        <f>HYPERLINK("https://www.youtube.com/watch?v=rVtY_fyS9kI", "Video")</f>
        <v/>
      </c>
      <c r="B1033" t="inlineStr">
        <is>
          <t>36:33</t>
        </is>
      </c>
      <c r="C1033" t="inlineStr">
        <is>
          <t>helps Drive Forth the change and too</t>
        </is>
      </c>
      <c r="D1033">
        <f>HYPERLINK("https://www.youtube.com/watch?v=rVtY_fyS9kI&amp;t=2193s", "Go to time")</f>
        <v/>
      </c>
    </row>
    <row r="1034">
      <c r="A1034">
        <f>HYPERLINK("https://www.youtube.com/watch?v=rVtY_fyS9kI", "Video")</f>
        <v/>
      </c>
      <c r="B1034" t="inlineStr">
        <is>
          <t>36:57</t>
        </is>
      </c>
      <c r="C1034" t="inlineStr">
        <is>
          <t>actual process to drive change</t>
        </is>
      </c>
      <c r="D1034">
        <f>HYPERLINK("https://www.youtube.com/watch?v=rVtY_fyS9kI&amp;t=2217s", "Go to time")</f>
        <v/>
      </c>
    </row>
    <row r="1035">
      <c r="A1035">
        <f>HYPERLINK("https://www.youtube.com/watch?v=wVdD3wYAH64", "Video")</f>
        <v/>
      </c>
      <c r="B1035" t="inlineStr">
        <is>
          <t>1:19</t>
        </is>
      </c>
      <c r="C1035" t="inlineStr">
        <is>
          <t>co-own resources to drive future</t>
        </is>
      </c>
      <c r="D1035">
        <f>HYPERLINK("https://www.youtube.com/watch?v=wVdD3wYAH64&amp;t=79s", "Go to time")</f>
        <v/>
      </c>
    </row>
    <row r="1036">
      <c r="A1036">
        <f>HYPERLINK("https://www.youtube.com/watch?v=aJsmJsd6GIw", "Video")</f>
        <v/>
      </c>
      <c r="B1036" t="inlineStr">
        <is>
          <t>2:04</t>
        </is>
      </c>
      <c r="C1036" t="inlineStr">
        <is>
          <t>drive success in the business and they</t>
        </is>
      </c>
      <c r="D1036">
        <f>HYPERLINK("https://www.youtube.com/watch?v=aJsmJsd6GIw&amp;t=124s", "Go to time")</f>
        <v/>
      </c>
    </row>
    <row r="1037">
      <c r="A1037">
        <f>HYPERLINK("https://www.youtube.com/watch?v=aJsmJsd6GIw", "Video")</f>
        <v/>
      </c>
      <c r="B1037" t="inlineStr">
        <is>
          <t>5:28</t>
        </is>
      </c>
      <c r="C1037" t="inlineStr">
        <is>
          <t>two key numbers that drive success in</t>
        </is>
      </c>
      <c r="D1037">
        <f>HYPERLINK("https://www.youtube.com/watch?v=aJsmJsd6GIw&amp;t=328s", "Go to time")</f>
        <v/>
      </c>
    </row>
    <row r="1038">
      <c r="A1038">
        <f>HYPERLINK("https://www.youtube.com/watch?v=aJsmJsd6GIw", "Video")</f>
        <v/>
      </c>
      <c r="B1038" t="inlineStr">
        <is>
          <t>6:49</t>
        </is>
      </c>
      <c r="C1038" t="inlineStr">
        <is>
          <t>will drive success in the business and</t>
        </is>
      </c>
      <c r="D1038">
        <f>HYPERLINK("https://www.youtube.com/watch?v=aJsmJsd6GIw&amp;t=409s", "Go to time")</f>
        <v/>
      </c>
    </row>
    <row r="1039">
      <c r="A1039">
        <f>HYPERLINK("https://www.youtube.com/watch?v=aJsmJsd6GIw", "Video")</f>
        <v/>
      </c>
      <c r="B1039" t="inlineStr">
        <is>
          <t>7:09</t>
        </is>
      </c>
      <c r="C1039" t="inlineStr">
        <is>
          <t>key um key drivers that bring uh that</t>
        </is>
      </c>
      <c r="D1039">
        <f>HYPERLINK("https://www.youtube.com/watch?v=aJsmJsd6GIw&amp;t=429s", "Go to time")</f>
        <v/>
      </c>
    </row>
    <row r="1040">
      <c r="A1040">
        <f>HYPERLINK("https://www.youtube.com/watch?v=aJsmJsd6GIw", "Video")</f>
        <v/>
      </c>
      <c r="B1040" t="inlineStr">
        <is>
          <t>7:23</t>
        </is>
      </c>
      <c r="C1040" t="inlineStr">
        <is>
          <t>few key metrics and really drive them</t>
        </is>
      </c>
      <c r="D1040">
        <f>HYPERLINK("https://www.youtube.com/watch?v=aJsmJsd6GIw&amp;t=443s", "Go to time")</f>
        <v/>
      </c>
    </row>
    <row r="1041">
      <c r="A1041">
        <f>HYPERLINK("https://www.youtube.com/watch?v=aJsmJsd6GIw", "Video")</f>
        <v/>
      </c>
      <c r="B1041" t="inlineStr">
        <is>
          <t>7:57</t>
        </is>
      </c>
      <c r="C1041" t="inlineStr">
        <is>
          <t>our business that drives success and in</t>
        </is>
      </c>
      <c r="D1041">
        <f>HYPERLINK("https://www.youtube.com/watch?v=aJsmJsd6GIw&amp;t=477s", "Go to time")</f>
        <v/>
      </c>
    </row>
    <row r="1042">
      <c r="A1042">
        <f>HYPERLINK("https://www.youtube.com/watch?v=dOIRSqNqAzE", "Video")</f>
        <v/>
      </c>
      <c r="B1042" t="inlineStr">
        <is>
          <t>5:44</t>
        </is>
      </c>
      <c r="C1042" t="inlineStr">
        <is>
          <t>It drives me nuts.</t>
        </is>
      </c>
      <c r="D1042">
        <f>HYPERLINK("https://www.youtube.com/watch?v=dOIRSqNqAzE&amp;t=344s", "Go to time")</f>
        <v/>
      </c>
    </row>
    <row r="1043">
      <c r="A1043">
        <f>HYPERLINK("https://www.youtube.com/watch?v=MQIQgqhiAy8", "Video")</f>
        <v/>
      </c>
      <c r="B1043" t="inlineStr">
        <is>
          <t>10:59</t>
        </is>
      </c>
      <c r="C1043" t="inlineStr">
        <is>
          <t>technology webex is helping to drive the</t>
        </is>
      </c>
      <c r="D1043">
        <f>HYPERLINK("https://www.youtube.com/watch?v=MQIQgqhiAy8&amp;t=659s", "Go to time")</f>
        <v/>
      </c>
    </row>
    <row r="1044">
      <c r="A1044">
        <f>HYPERLINK("https://www.youtube.com/watch?v=MQIQgqhiAy8", "Video")</f>
        <v/>
      </c>
      <c r="B1044" t="inlineStr">
        <is>
          <t>16:25</t>
        </is>
      </c>
      <c r="C1044" t="inlineStr">
        <is>
          <t>we figure out how can we drive data</t>
        </is>
      </c>
      <c r="D1044">
        <f>HYPERLINK("https://www.youtube.com/watch?v=MQIQgqhiAy8&amp;t=985s", "Go to time")</f>
        <v/>
      </c>
    </row>
    <row r="1045">
      <c r="A1045">
        <f>HYPERLINK("https://www.youtube.com/watch?v=MQIQgqhiAy8", "Video")</f>
        <v/>
      </c>
      <c r="B1045" t="inlineStr">
        <is>
          <t>23:28</t>
        </is>
      </c>
      <c r="C1045" t="inlineStr">
        <is>
          <t>and some of that you can actually drive</t>
        </is>
      </c>
      <c r="D1045">
        <f>HYPERLINK("https://www.youtube.com/watch?v=MQIQgqhiAy8&amp;t=1408s", "Go to time")</f>
        <v/>
      </c>
    </row>
    <row r="1046">
      <c r="A1046">
        <f>HYPERLINK("https://www.youtube.com/watch?v=MQIQgqhiAy8", "Video")</f>
        <v/>
      </c>
      <c r="B1046" t="inlineStr">
        <is>
          <t>29:35</t>
        </is>
      </c>
      <c r="C1046" t="inlineStr">
        <is>
          <t>do it and and you know we we drive our</t>
        </is>
      </c>
      <c r="D1046">
        <f>HYPERLINK("https://www.youtube.com/watch?v=MQIQgqhiAy8&amp;t=1775s", "Go to time")</f>
        <v/>
      </c>
    </row>
    <row r="1047">
      <c r="A1047">
        <f>HYPERLINK("https://www.youtube.com/watch?v=VOo5qE8oOPg", "Video")</f>
        <v/>
      </c>
      <c r="B1047" t="inlineStr">
        <is>
          <t>1:18</t>
        </is>
      </c>
      <c r="C1047" t="inlineStr">
        <is>
          <t>and feelings in a mindful values-driven</t>
        </is>
      </c>
      <c r="D1047">
        <f>HYPERLINK("https://www.youtube.com/watch?v=VOo5qE8oOPg&amp;t=78s", "Go to time")</f>
        <v/>
      </c>
    </row>
    <row r="1048">
      <c r="A1048">
        <f>HYPERLINK("https://www.youtube.com/watch?v=uWUiybyXGAI", "Video")</f>
        <v/>
      </c>
      <c r="B1048" t="inlineStr">
        <is>
          <t>0:17</t>
        </is>
      </c>
      <c r="C1048" t="inlineStr">
        <is>
          <t>PEDRO ARNT: This is very much
a purpose-driven organization.</t>
        </is>
      </c>
      <c r="D1048">
        <f>HYPERLINK("https://www.youtube.com/watch?v=uWUiybyXGAI&amp;t=17s", "Go to time")</f>
        <v/>
      </c>
    </row>
    <row r="1049">
      <c r="A1049">
        <f>HYPERLINK("https://www.youtube.com/watch?v=uWUiybyXGAI", "Video")</f>
        <v/>
      </c>
      <c r="B1049" t="inlineStr">
        <is>
          <t>3:00</t>
        </is>
      </c>
      <c r="C1049" t="inlineStr">
        <is>
          <t>That really drives my
motivation when I wake up</t>
        </is>
      </c>
      <c r="D1049">
        <f>HYPERLINK("https://www.youtube.com/watch?v=uWUiybyXGAI&amp;t=180s", "Go to time")</f>
        <v/>
      </c>
    </row>
    <row r="1050">
      <c r="A1050">
        <f>HYPERLINK("https://www.youtube.com/watch?v=gRTpYWUmizE", "Video")</f>
        <v/>
      </c>
      <c r="B1050" t="inlineStr">
        <is>
          <t>7:16</t>
        </is>
      </c>
      <c r="C1050" t="inlineStr">
        <is>
          <t>then they help drive it to
the next level of scale.</t>
        </is>
      </c>
      <c r="D1050">
        <f>HYPERLINK("https://www.youtube.com/watch?v=gRTpYWUmizE&amp;t=436s", "Go to time")</f>
        <v/>
      </c>
    </row>
    <row r="1051">
      <c r="A1051">
        <f>HYPERLINK("https://www.youtube.com/watch?v=gRTpYWUmizE", "Video")</f>
        <v/>
      </c>
      <c r="B1051" t="inlineStr">
        <is>
          <t>10:11</t>
        </is>
      </c>
      <c r="C1051" t="inlineStr">
        <is>
          <t>requirements to try
to drive the demand.</t>
        </is>
      </c>
      <c r="D1051">
        <f>HYPERLINK("https://www.youtube.com/watch?v=gRTpYWUmizE&amp;t=611s", "Go to time")</f>
        <v/>
      </c>
    </row>
    <row r="1052">
      <c r="A1052">
        <f>HYPERLINK("https://www.youtube.com/watch?v=gRTpYWUmizE", "Video")</f>
        <v/>
      </c>
      <c r="B1052" t="inlineStr">
        <is>
          <t>17:51</t>
        </is>
      </c>
      <c r="C1052" t="inlineStr">
        <is>
          <t>You can switch your consumption
to help drive demand so</t>
        </is>
      </c>
      <c r="D1052">
        <f>HYPERLINK("https://www.youtube.com/watch?v=gRTpYWUmizE&amp;t=1071s", "Go to time")</f>
        <v/>
      </c>
    </row>
    <row r="1053">
      <c r="A1053">
        <f>HYPERLINK("https://www.youtube.com/watch?v=gRTpYWUmizE", "Video")</f>
        <v/>
      </c>
      <c r="B1053" t="inlineStr">
        <is>
          <t>18:01</t>
        </is>
      </c>
      <c r="C1053" t="inlineStr">
        <is>
          <t>to drive that green
premium to zero.</t>
        </is>
      </c>
      <c r="D1053">
        <f>HYPERLINK("https://www.youtube.com/watch?v=gRTpYWUmizE&amp;t=1081s", "Go to time")</f>
        <v/>
      </c>
    </row>
    <row r="1054">
      <c r="A1054">
        <f>HYPERLINK("https://www.youtube.com/watch?v=vZ1YjAlcbVE", "Video")</f>
        <v/>
      </c>
      <c r="B1054" t="inlineStr">
        <is>
          <t>17:24</t>
        </is>
      </c>
      <c r="C1054" t="inlineStr">
        <is>
          <t>And that became my drive.</t>
        </is>
      </c>
      <c r="D1054">
        <f>HYPERLINK("https://www.youtube.com/watch?v=vZ1YjAlcbVE&amp;t=1044s", "Go to time")</f>
        <v/>
      </c>
    </row>
    <row r="1055">
      <c r="A1055">
        <f>HYPERLINK("https://www.youtube.com/watch?v=vZ1YjAlcbVE", "Video")</f>
        <v/>
      </c>
      <c r="B1055" t="inlineStr">
        <is>
          <t>20:39</t>
        </is>
      </c>
      <c r="C1055" t="inlineStr">
        <is>
          <t>But the car you drive,
the clubs you belong to.</t>
        </is>
      </c>
      <c r="D1055">
        <f>HYPERLINK("https://www.youtube.com/watch?v=vZ1YjAlcbVE&amp;t=1239s", "Go to time")</f>
        <v/>
      </c>
    </row>
    <row r="1056">
      <c r="A1056">
        <f>HYPERLINK("https://www.youtube.com/watch?v=vZ1YjAlcbVE", "Video")</f>
        <v/>
      </c>
      <c r="B1056" t="inlineStr">
        <is>
          <t>21:06</t>
        </is>
      </c>
      <c r="C1056" t="inlineStr">
        <is>
          <t>Listen, if you want to
drive a super-expensive car,</t>
        </is>
      </c>
      <c r="D1056">
        <f>HYPERLINK("https://www.youtube.com/watch?v=vZ1YjAlcbVE&amp;t=1266s", "Go to time")</f>
        <v/>
      </c>
    </row>
    <row r="1057">
      <c r="A1057">
        <f>HYPERLINK("https://www.youtube.com/watch?v=mrVbkfnZyDw", "Video")</f>
        <v/>
      </c>
      <c r="B1057" t="inlineStr">
        <is>
          <t>4:53</t>
        </is>
      </c>
      <c r="C1057" t="inlineStr">
        <is>
          <t>but not necessarily being
driven by union strategies.</t>
        </is>
      </c>
      <c r="D1057">
        <f>HYPERLINK("https://www.youtube.com/watch?v=mrVbkfnZyDw&amp;t=293s", "Go to time")</f>
        <v/>
      </c>
    </row>
    <row r="1058">
      <c r="A1058">
        <f>HYPERLINK("https://www.youtube.com/watch?v=Fk9ZtVDbw6E", "Video")</f>
        <v/>
      </c>
      <c r="B1058" t="inlineStr">
        <is>
          <t>4:35</t>
        </is>
      </c>
      <c r="C1058" t="inlineStr">
        <is>
          <t>I have a hard drive.</t>
        </is>
      </c>
      <c r="D1058">
        <f>HYPERLINK("https://www.youtube.com/watch?v=Fk9ZtVDbw6E&amp;t=275s", "Go to time")</f>
        <v/>
      </c>
    </row>
    <row r="1059">
      <c r="A1059">
        <f>HYPERLINK("https://www.youtube.com/watch?v=0RNmy2aE-cE", "Video")</f>
        <v/>
      </c>
      <c r="B1059" t="inlineStr">
        <is>
          <t>14:49</t>
        </is>
      </c>
      <c r="C1059" t="inlineStr">
        <is>
          <t>but oftentimes they're
motivated and driven.</t>
        </is>
      </c>
      <c r="D1059">
        <f>HYPERLINK("https://www.youtube.com/watch?v=0RNmy2aE-cE&amp;t=889s", "Go to time")</f>
        <v/>
      </c>
    </row>
    <row r="1060">
      <c r="A1060">
        <f>HYPERLINK("https://www.youtube.com/watch?v=Rk1y7Yahtic", "Video")</f>
        <v/>
      </c>
      <c r="B1060" t="inlineStr">
        <is>
          <t>7:15</t>
        </is>
      </c>
      <c r="C1060" t="inlineStr">
        <is>
          <t>drive-through window when i was at</t>
        </is>
      </c>
      <c r="D1060">
        <f>HYPERLINK("https://www.youtube.com/watch?v=Rk1y7Yahtic&amp;t=435s", "Go to time")</f>
        <v/>
      </c>
    </row>
    <row r="1061">
      <c r="A1061">
        <f>HYPERLINK("https://www.youtube.com/watch?v=Rk1y7Yahtic", "Video")</f>
        <v/>
      </c>
      <c r="B1061" t="inlineStr">
        <is>
          <t>15:54</t>
        </is>
      </c>
      <c r="C1061" t="inlineStr">
        <is>
          <t>silo-driven you know environment um</t>
        </is>
      </c>
      <c r="D1061">
        <f>HYPERLINK("https://www.youtube.com/watch?v=Rk1y7Yahtic&amp;t=954s", "Go to time")</f>
        <v/>
      </c>
    </row>
    <row r="1062">
      <c r="A1062">
        <f>HYPERLINK("https://www.youtube.com/watch?v=bPBsnygQiXA", "Video")</f>
        <v/>
      </c>
      <c r="B1062" t="inlineStr">
        <is>
          <t>8:08</t>
        </is>
      </c>
      <c r="C1062" t="inlineStr">
        <is>
          <t>is it uses up a lot of your hard drive</t>
        </is>
      </c>
      <c r="D1062">
        <f>HYPERLINK("https://www.youtube.com/watch?v=bPBsnygQiXA&amp;t=488s", "Go to time")</f>
        <v/>
      </c>
    </row>
    <row r="1063">
      <c r="A1063">
        <f>HYPERLINK("https://www.youtube.com/watch?v=bPBsnygQiXA", "Video")</f>
        <v/>
      </c>
      <c r="B1063" t="inlineStr">
        <is>
          <t>9:04</t>
        </is>
      </c>
      <c r="C1063" t="inlineStr">
        <is>
          <t>hard drive that you need to clean out</t>
        </is>
      </c>
      <c r="D1063">
        <f>HYPERLINK("https://www.youtube.com/watch?v=bPBsnygQiXA&amp;t=544s", "Go to time")</f>
        <v/>
      </c>
    </row>
    <row r="1064">
      <c r="A1064">
        <f>HYPERLINK("https://www.youtube.com/watch?v=bPBsnygQiXA", "Video")</f>
        <v/>
      </c>
      <c r="B1064" t="inlineStr">
        <is>
          <t>10:45</t>
        </is>
      </c>
      <c r="C1064" t="inlineStr">
        <is>
          <t>your hard drive and taking it out of</t>
        </is>
      </c>
      <c r="D1064">
        <f>HYPERLINK("https://www.youtube.com/watch?v=bPBsnygQiXA&amp;t=645s", "Go to time")</f>
        <v/>
      </c>
    </row>
    <row r="1065">
      <c r="A1065">
        <f>HYPERLINK("https://www.youtube.com/watch?v=bPBsnygQiXA", "Video")</f>
        <v/>
      </c>
      <c r="B1065" t="inlineStr">
        <is>
          <t>11:27</t>
        </is>
      </c>
      <c r="C1065" t="inlineStr">
        <is>
          <t>clear that hard drive as you said it</t>
        </is>
      </c>
      <c r="D1065">
        <f>HYPERLINK("https://www.youtube.com/watch?v=bPBsnygQiXA&amp;t=687s", "Go to time")</f>
        <v/>
      </c>
    </row>
    <row r="1066">
      <c r="A1066">
        <f>HYPERLINK("https://www.youtube.com/watch?v=bPBsnygQiXA", "Video")</f>
        <v/>
      </c>
      <c r="B1066" t="inlineStr">
        <is>
          <t>14:57</t>
        </is>
      </c>
      <c r="C1066" t="inlineStr">
        <is>
          <t>computer hard drive and you've got to</t>
        </is>
      </c>
      <c r="D1066">
        <f>HYPERLINK("https://www.youtube.com/watch?v=bPBsnygQiXA&amp;t=897s", "Go to time")</f>
        <v/>
      </c>
    </row>
    <row r="1067">
      <c r="A1067">
        <f>HYPERLINK("https://www.youtube.com/watch?v=bPBsnygQiXA", "Video")</f>
        <v/>
      </c>
      <c r="B1067" t="inlineStr">
        <is>
          <t>21:35</t>
        </is>
      </c>
      <c r="C1067" t="inlineStr">
        <is>
          <t>driven culture because we see it</t>
        </is>
      </c>
      <c r="D1067">
        <f>HYPERLINK("https://www.youtube.com/watch?v=bPBsnygQiXA&amp;t=1295s", "Go to time")</f>
        <v/>
      </c>
    </row>
    <row r="1068">
      <c r="A1068">
        <f>HYPERLINK("https://www.youtube.com/watch?v=2vGLLhMhRsQ", "Video")</f>
        <v/>
      </c>
      <c r="B1068" t="inlineStr">
        <is>
          <t>4:30</t>
        </is>
      </c>
      <c r="C1068" t="inlineStr">
        <is>
          <t>the right organization, the
good drivers, the right engine.</t>
        </is>
      </c>
      <c r="D1068">
        <f>HYPERLINK("https://www.youtube.com/watch?v=2vGLLhMhRsQ&amp;t=270s", "Go to time")</f>
        <v/>
      </c>
    </row>
    <row r="1069">
      <c r="A1069">
        <f>HYPERLINK("https://www.youtube.com/watch?v=CvCiCfaUbRY", "Video")</f>
        <v/>
      </c>
      <c r="B1069" t="inlineStr">
        <is>
          <t>8:58</t>
        </is>
      </c>
      <c r="C1069" t="inlineStr">
        <is>
          <t>winning Drive our conversations and our</t>
        </is>
      </c>
      <c r="D1069">
        <f>HYPERLINK("https://www.youtube.com/watch?v=CvCiCfaUbRY&amp;t=538s", "Go to time")</f>
        <v/>
      </c>
    </row>
    <row r="1070">
      <c r="A1070">
        <f>HYPERLINK("https://www.youtube.com/watch?v=CvCiCfaUbRY", "Video")</f>
        <v/>
      </c>
      <c r="B1070" t="inlineStr">
        <is>
          <t>9:06</t>
        </is>
      </c>
      <c r="C1070" t="inlineStr">
        <is>
          <t>analysis and thoughtfulness Drive our</t>
        </is>
      </c>
      <c r="D1070">
        <f>HYPERLINK("https://www.youtube.com/watch?v=CvCiCfaUbRY&amp;t=546s", "Go to time")</f>
        <v/>
      </c>
    </row>
    <row r="1071">
      <c r="A1071">
        <f>HYPERLINK("https://www.youtube.com/watch?v=zDyr7gsYzAQ", "Video")</f>
        <v/>
      </c>
      <c r="B1071" t="inlineStr">
        <is>
          <t>1:44</t>
        </is>
      </c>
      <c r="C1071" t="inlineStr">
        <is>
          <t>this can drive you to center your life</t>
        </is>
      </c>
      <c r="D1071">
        <f>HYPERLINK("https://www.youtube.com/watch?v=zDyr7gsYzAQ&amp;t=104s", "Go to time")</f>
        <v/>
      </c>
    </row>
    <row r="1072">
      <c r="A1072">
        <f>HYPERLINK("https://www.youtube.com/watch?v=1cBoiDwRyi8", "Video")</f>
        <v/>
      </c>
      <c r="B1072" t="inlineStr">
        <is>
          <t>30:43</t>
        </is>
      </c>
      <c r="C1072" t="inlineStr">
        <is>
          <t>But it's states that
drive the response.</t>
        </is>
      </c>
      <c r="D1072">
        <f>HYPERLINK("https://www.youtube.com/watch?v=1cBoiDwRyi8&amp;t=1843s", "Go to time")</f>
        <v/>
      </c>
    </row>
    <row r="1073">
      <c r="A1073">
        <f>HYPERLINK("https://www.youtube.com/watch?v=1cBoiDwRyi8", "Video")</f>
        <v/>
      </c>
      <c r="B1073" t="inlineStr">
        <is>
          <t>30:47</t>
        </is>
      </c>
      <c r="C1073" t="inlineStr">
        <is>
          <t>States have to drive
a significant share</t>
        </is>
      </c>
      <c r="D1073">
        <f>HYPERLINK("https://www.youtube.com/watch?v=1cBoiDwRyi8&amp;t=1847s", "Go to time")</f>
        <v/>
      </c>
    </row>
    <row r="1074">
      <c r="A1074">
        <f>HYPERLINK("https://www.youtube.com/watch?v=1cBoiDwRyi8", "Video")</f>
        <v/>
      </c>
      <c r="B1074" t="inlineStr">
        <is>
          <t>42:42</t>
        </is>
      </c>
      <c r="C1074" t="inlineStr">
        <is>
          <t>The pandemic has
driven us apart,</t>
        </is>
      </c>
      <c r="D1074">
        <f>HYPERLINK("https://www.youtube.com/watch?v=1cBoiDwRyi8&amp;t=2562s", "Go to time")</f>
        <v/>
      </c>
    </row>
    <row r="1075">
      <c r="A1075">
        <f>HYPERLINK("https://www.youtube.com/watch?v=ST8h_qR29qo", "Video")</f>
        <v/>
      </c>
      <c r="B1075" t="inlineStr">
        <is>
          <t>0:58</t>
        </is>
      </c>
      <c r="C1075" t="inlineStr">
        <is>
          <t>She and her team
were revenue drivers.</t>
        </is>
      </c>
      <c r="D1075">
        <f>HYPERLINK("https://www.youtube.com/watch?v=ST8h_qR29qo&amp;t=58s", "Go to time")</f>
        <v/>
      </c>
    </row>
    <row r="1076">
      <c r="A1076">
        <f>HYPERLINK("https://www.youtube.com/watch?v=ST8h_qR29qo", "Video")</f>
        <v/>
      </c>
      <c r="B1076" t="inlineStr">
        <is>
          <t>3:55</t>
        </is>
      </c>
      <c r="C1076" t="inlineStr">
        <is>
          <t>oftentimes, they're not fully
driven by the strategies.</t>
        </is>
      </c>
      <c r="D1076">
        <f>HYPERLINK("https://www.youtube.com/watch?v=ST8h_qR29qo&amp;t=235s", "Go to time")</f>
        <v/>
      </c>
    </row>
    <row r="1077">
      <c r="A1077">
        <f>HYPERLINK("https://www.youtube.com/watch?v=ST8h_qR29qo", "Video")</f>
        <v/>
      </c>
      <c r="B1077" t="inlineStr">
        <is>
          <t>5:17</t>
        </is>
      </c>
      <c r="C1077" t="inlineStr">
        <is>
          <t>in terms of being able to
drive for results while</t>
        </is>
      </c>
      <c r="D1077">
        <f>HYPERLINK("https://www.youtube.com/watch?v=ST8h_qR29qo&amp;t=317s", "Go to time")</f>
        <v/>
      </c>
    </row>
    <row r="1078">
      <c r="A1078">
        <f>HYPERLINK("https://www.youtube.com/watch?v=ST8h_qR29qo", "Video")</f>
        <v/>
      </c>
      <c r="B1078" t="inlineStr">
        <is>
          <t>6:15</t>
        </is>
      </c>
      <c r="C1078" t="inlineStr">
        <is>
          <t>SUBJECT: And some of them are
very entrepreneurial driven.</t>
        </is>
      </c>
      <c r="D1078">
        <f>HYPERLINK("https://www.youtube.com/watch?v=ST8h_qR29qo&amp;t=375s", "Go to time")</f>
        <v/>
      </c>
    </row>
    <row r="1079">
      <c r="A1079">
        <f>HYPERLINK("https://www.youtube.com/watch?v=ST8h_qR29qo", "Video")</f>
        <v/>
      </c>
      <c r="B1079" t="inlineStr">
        <is>
          <t>26:12</t>
        </is>
      </c>
      <c r="C1079" t="inlineStr">
        <is>
          <t>The strategy piece, being able
to drive to results, being</t>
        </is>
      </c>
      <c r="D1079">
        <f>HYPERLINK("https://www.youtube.com/watch?v=ST8h_qR29qo&amp;t=1572s", "Go to time")</f>
        <v/>
      </c>
    </row>
    <row r="1080">
      <c r="A1080">
        <f>HYPERLINK("https://www.youtube.com/watch?v=ST8h_qR29qo", "Video")</f>
        <v/>
      </c>
      <c r="B1080" t="inlineStr">
        <is>
          <t>26:28</t>
        </is>
      </c>
      <c r="C1080" t="inlineStr">
        <is>
          <t>a sense of owning how we
drive to the results, a sense</t>
        </is>
      </c>
      <c r="D1080">
        <f>HYPERLINK("https://www.youtube.com/watch?v=ST8h_qR29qo&amp;t=1588s", "Go to time")</f>
        <v/>
      </c>
    </row>
    <row r="1081">
      <c r="A1081">
        <f>HYPERLINK("https://www.youtube.com/watch?v=KtiUMAYOcG8", "Video")</f>
        <v/>
      </c>
      <c r="B1081" t="inlineStr">
        <is>
          <t>5:14</t>
        </is>
      </c>
      <c r="C1081" t="inlineStr">
        <is>
          <t>company connect what drives them</t>
        </is>
      </c>
      <c r="D1081">
        <f>HYPERLINK("https://www.youtube.com/watch?v=KtiUMAYOcG8&amp;t=314s", "Go to time")</f>
        <v/>
      </c>
    </row>
    <row r="1082">
      <c r="A1082">
        <f>HYPERLINK("https://www.youtube.com/watch?v=KtiUMAYOcG8", "Video")</f>
        <v/>
      </c>
      <c r="B1082" t="inlineStr">
        <is>
          <t>9:20</t>
        </is>
      </c>
      <c r="C1082" t="inlineStr">
        <is>
          <t>drives them which is the golden rule</t>
        </is>
      </c>
      <c r="D1082">
        <f>HYPERLINK("https://www.youtube.com/watch?v=KtiUMAYOcG8&amp;t=560s", "Go to time")</f>
        <v/>
      </c>
    </row>
    <row r="1083">
      <c r="A1083">
        <f>HYPERLINK("https://www.youtube.com/watch?v=KtiUMAYOcG8", "Video")</f>
        <v/>
      </c>
      <c r="B1083" t="inlineStr">
        <is>
          <t>9:55</t>
        </is>
      </c>
      <c r="C1083" t="inlineStr">
        <is>
          <t>what drives me knows my struggle knows</t>
        </is>
      </c>
      <c r="D1083">
        <f>HYPERLINK("https://www.youtube.com/watch?v=KtiUMAYOcG8&amp;t=595s", "Go to time")</f>
        <v/>
      </c>
    </row>
    <row r="1084">
      <c r="A1084">
        <f>HYPERLINK("https://www.youtube.com/watch?v=KtiUMAYOcG8", "Video")</f>
        <v/>
      </c>
      <c r="B1084" t="inlineStr">
        <is>
          <t>24:49</t>
        </is>
      </c>
      <c r="C1084" t="inlineStr">
        <is>
          <t>what drives the individual what kind of</t>
        </is>
      </c>
      <c r="D1084">
        <f>HYPERLINK("https://www.youtube.com/watch?v=KtiUMAYOcG8&amp;t=1489s", "Go to time")</f>
        <v/>
      </c>
    </row>
    <row r="1085">
      <c r="A1085">
        <f>HYPERLINK("https://www.youtube.com/watch?v=KtiUMAYOcG8", "Video")</f>
        <v/>
      </c>
      <c r="B1085" t="inlineStr">
        <is>
          <t>31:48</t>
        </is>
      </c>
      <c r="C1085" t="inlineStr">
        <is>
          <t>driven by your purpose your values</t>
        </is>
      </c>
      <c r="D1085">
        <f>HYPERLINK("https://www.youtube.com/watch?v=KtiUMAYOcG8&amp;t=1908s", "Go to time")</f>
        <v/>
      </c>
    </row>
    <row r="1086">
      <c r="A1086">
        <f>HYPERLINK("https://www.youtube.com/watch?v=FFzUt9xGEKE", "Video")</f>
        <v/>
      </c>
      <c r="B1086" t="inlineStr">
        <is>
          <t>18:04</t>
        </is>
      </c>
      <c r="C1086" t="inlineStr">
        <is>
          <t>of value, purpose-driven
leadership that we're</t>
        </is>
      </c>
      <c r="D1086">
        <f>HYPERLINK("https://www.youtube.com/watch?v=FFzUt9xGEKE&amp;t=1084s", "Go to time")</f>
        <v/>
      </c>
    </row>
    <row r="1087">
      <c r="A1087">
        <f>HYPERLINK("https://www.youtube.com/watch?v=FFzUt9xGEKE", "Video")</f>
        <v/>
      </c>
      <c r="B1087" t="inlineStr">
        <is>
          <t>27:55</t>
        </is>
      </c>
      <c r="C1087" t="inlineStr">
        <is>
          <t>and mission-driven,
this work will be really</t>
        </is>
      </c>
      <c r="D1087">
        <f>HYPERLINK("https://www.youtube.com/watch?v=FFzUt9xGEKE&amp;t=1675s", "Go to time")</f>
        <v/>
      </c>
    </row>
    <row r="1088">
      <c r="A1088">
        <f>HYPERLINK("https://www.youtube.com/watch?v=AXI9Ni5uy4w", "Video")</f>
        <v/>
      </c>
      <c r="B1088" t="inlineStr">
        <is>
          <t>12:15</t>
        </is>
      </c>
      <c r="C1088" t="inlineStr">
        <is>
          <t>drive us forward</t>
        </is>
      </c>
      <c r="D1088">
        <f>HYPERLINK("https://www.youtube.com/watch?v=AXI9Ni5uy4w&amp;t=735s", "Go to time")</f>
        <v/>
      </c>
    </row>
    <row r="1089">
      <c r="A1089">
        <f>HYPERLINK("https://www.youtube.com/watch?v=AXI9Ni5uy4w", "Video")</f>
        <v/>
      </c>
      <c r="B1089" t="inlineStr">
        <is>
          <t>13:07</t>
        </is>
      </c>
      <c r="C1089" t="inlineStr">
        <is>
          <t>from the you know drive to actually get</t>
        </is>
      </c>
      <c r="D1089">
        <f>HYPERLINK("https://www.youtube.com/watch?v=AXI9Ni5uy4w&amp;t=787s", "Go to time")</f>
        <v/>
      </c>
    </row>
    <row r="1090">
      <c r="A1090">
        <f>HYPERLINK("https://www.youtube.com/watch?v=AXI9Ni5uy4w", "Video")</f>
        <v/>
      </c>
      <c r="B1090" t="inlineStr">
        <is>
          <t>16:17</t>
        </is>
      </c>
      <c r="C1090" t="inlineStr">
        <is>
          <t>purpose-driven</t>
        </is>
      </c>
      <c r="D1090">
        <f>HYPERLINK("https://www.youtube.com/watch?v=AXI9Ni5uy4w&amp;t=977s", "Go to time")</f>
        <v/>
      </c>
    </row>
    <row r="1091">
      <c r="A1091">
        <f>HYPERLINK("https://www.youtube.com/watch?v=AXI9Ni5uy4w", "Video")</f>
        <v/>
      </c>
      <c r="B1091" t="inlineStr">
        <is>
          <t>16:18</t>
        </is>
      </c>
      <c r="C1091" t="inlineStr">
        <is>
          <t>stakeholder driven partnership that's</t>
        </is>
      </c>
      <c r="D1091">
        <f>HYPERLINK("https://www.youtube.com/watch?v=AXI9Ni5uy4w&amp;t=978s", "Go to time")</f>
        <v/>
      </c>
    </row>
    <row r="1092">
      <c r="A1092">
        <f>HYPERLINK("https://www.youtube.com/watch?v=AXI9Ni5uy4w", "Video")</f>
        <v/>
      </c>
      <c r="B1092" t="inlineStr">
        <is>
          <t>17:35</t>
        </is>
      </c>
      <c r="C1092" t="inlineStr">
        <is>
          <t>it's probably driven a lot of the the</t>
        </is>
      </c>
      <c r="D1092">
        <f>HYPERLINK("https://www.youtube.com/watch?v=AXI9Ni5uy4w&amp;t=1055s", "Go to time")</f>
        <v/>
      </c>
    </row>
    <row r="1093">
      <c r="A1093">
        <f>HYPERLINK("https://www.youtube.com/watch?v=AXI9Ni5uy4w", "Video")</f>
        <v/>
      </c>
      <c r="B1093" t="inlineStr">
        <is>
          <t>20:16</t>
        </is>
      </c>
      <c r="C1093" t="inlineStr">
        <is>
          <t>driven by this notion of public value</t>
        </is>
      </c>
      <c r="D1093">
        <f>HYPERLINK("https://www.youtube.com/watch?v=AXI9Ni5uy4w&amp;t=1216s", "Go to time")</f>
        <v/>
      </c>
    </row>
    <row r="1094">
      <c r="A1094">
        <f>HYPERLINK("https://www.youtube.com/watch?v=AXI9Ni5uy4w", "Video")</f>
        <v/>
      </c>
      <c r="B1094" t="inlineStr">
        <is>
          <t>20:36</t>
        </is>
      </c>
      <c r="C1094" t="inlineStr">
        <is>
          <t>driven by an internal debate of what</t>
        </is>
      </c>
      <c r="D1094">
        <f>HYPERLINK("https://www.youtube.com/watch?v=AXI9Ni5uy4w&amp;t=1236s", "Go to time")</f>
        <v/>
      </c>
    </row>
    <row r="1095">
      <c r="A1095">
        <f>HYPERLINK("https://www.youtube.com/watch?v=AXI9Ni5uy4w", "Video")</f>
        <v/>
      </c>
      <c r="B1095" t="inlineStr">
        <is>
          <t>23:30</t>
        </is>
      </c>
      <c r="C1095" t="inlineStr">
        <is>
          <t>doesn't feel very purpose driven so</t>
        </is>
      </c>
      <c r="D1095">
        <f>HYPERLINK("https://www.youtube.com/watch?v=AXI9Ni5uy4w&amp;t=1410s", "Go to time")</f>
        <v/>
      </c>
    </row>
    <row r="1096">
      <c r="A1096">
        <f>HYPERLINK("https://www.youtube.com/watch?v=AXI9Ni5uy4w", "Video")</f>
        <v/>
      </c>
      <c r="B1096" t="inlineStr">
        <is>
          <t>24:05</t>
        </is>
      </c>
      <c r="C1096" t="inlineStr">
        <is>
          <t>purpose-driven</t>
        </is>
      </c>
      <c r="D1096">
        <f>HYPERLINK("https://www.youtube.com/watch?v=AXI9Ni5uy4w&amp;t=1445s", "Go to time")</f>
        <v/>
      </c>
    </row>
    <row r="1097">
      <c r="A1097">
        <f>HYPERLINK("https://www.youtube.com/watch?v=AXI9Ni5uy4w", "Video")</f>
        <v/>
      </c>
      <c r="B1097" t="inlineStr">
        <is>
          <t>24:48</t>
        </is>
      </c>
      <c r="C1097" t="inlineStr">
        <is>
          <t>driven or joined the business roundtable</t>
        </is>
      </c>
      <c r="D1097">
        <f>HYPERLINK("https://www.youtube.com/watch?v=AXI9Ni5uy4w&amp;t=1488s", "Go to time")</f>
        <v/>
      </c>
    </row>
    <row r="1098">
      <c r="A1098">
        <f>HYPERLINK("https://www.youtube.com/watch?v=AXI9Ni5uy4w", "Video")</f>
        <v/>
      </c>
      <c r="B1098" t="inlineStr">
        <is>
          <t>31:35</t>
        </is>
      </c>
      <c r="C1098" t="inlineStr">
        <is>
          <t>drives business investment</t>
        </is>
      </c>
      <c r="D1098">
        <f>HYPERLINK("https://www.youtube.com/watch?v=AXI9Ni5uy4w&amp;t=1895s", "Go to time")</f>
        <v/>
      </c>
    </row>
    <row r="1099">
      <c r="A1099">
        <f>HYPERLINK("https://www.youtube.com/watch?v=AXI9Ni5uy4w", "Video")</f>
        <v/>
      </c>
      <c r="B1099" t="inlineStr">
        <is>
          <t>35:29</t>
        </is>
      </c>
      <c r="C1099" t="inlineStr">
        <is>
          <t>under-financed is is a key driver of</t>
        </is>
      </c>
      <c r="D1099">
        <f>HYPERLINK("https://www.youtube.com/watch?v=AXI9Ni5uy4w&amp;t=2129s", "Go to time")</f>
        <v/>
      </c>
    </row>
    <row r="1100">
      <c r="A1100">
        <f>HYPERLINK("https://www.youtube.com/watch?v=AXI9Ni5uy4w", "Video")</f>
        <v/>
      </c>
      <c r="B1100" t="inlineStr">
        <is>
          <t>46:18</t>
        </is>
      </c>
      <c r="C1100" t="inlineStr">
        <is>
          <t>driven by again goals</t>
        </is>
      </c>
      <c r="D1100">
        <f>HYPERLINK("https://www.youtube.com/watch?v=AXI9Ni5uy4w&amp;t=2778s", "Go to time")</f>
        <v/>
      </c>
    </row>
    <row r="1101">
      <c r="A1101">
        <f>HYPERLINK("https://www.youtube.com/watch?v=sQzD3st8mTk", "Video")</f>
        <v/>
      </c>
      <c r="B1101" t="inlineStr">
        <is>
          <t>6:15</t>
        </is>
      </c>
      <c r="C1101" t="inlineStr">
        <is>
          <t>It should always be
driven by the content.</t>
        </is>
      </c>
      <c r="D1101">
        <f>HYPERLINK("https://www.youtube.com/watch?v=sQzD3st8mTk&amp;t=375s", "Go to time")</f>
        <v/>
      </c>
    </row>
    <row r="1102">
      <c r="A1102">
        <f>HYPERLINK("https://www.youtube.com/watch?v=iJve-5wHrio", "Video")</f>
        <v/>
      </c>
      <c r="B1102" t="inlineStr">
        <is>
          <t>13:10</t>
        </is>
      </c>
      <c r="C1102" t="inlineStr">
        <is>
          <t>How was your drive in?</t>
        </is>
      </c>
      <c r="D1102">
        <f>HYPERLINK("https://www.youtube.com/watch?v=iJve-5wHrio&amp;t=790s", "Go to time")</f>
        <v/>
      </c>
    </row>
    <row r="1103">
      <c r="A1103">
        <f>HYPERLINK("https://www.youtube.com/watch?v=iJve-5wHrio", "Video")</f>
        <v/>
      </c>
      <c r="B1103" t="inlineStr">
        <is>
          <t>14:11</t>
        </is>
      </c>
      <c r="C1103" t="inlineStr">
        <is>
          <t>I had a nice drive in.</t>
        </is>
      </c>
      <c r="D1103">
        <f>HYPERLINK("https://www.youtube.com/watch?v=iJve-5wHrio&amp;t=851s", "Go to time")</f>
        <v/>
      </c>
    </row>
    <row r="1104">
      <c r="A1104">
        <f>HYPERLINK("https://www.youtube.com/watch?v=oJmaxqUqIPE", "Video")</f>
        <v/>
      </c>
      <c r="B1104" t="inlineStr">
        <is>
          <t>0:53</t>
        </is>
      </c>
      <c r="C1104" t="inlineStr">
        <is>
          <t>He's been working in a
sales-driven retail sector</t>
        </is>
      </c>
      <c r="D1104">
        <f>HYPERLINK("https://www.youtube.com/watch?v=oJmaxqUqIPE&amp;t=53s", "Go to time")</f>
        <v/>
      </c>
    </row>
    <row r="1105">
      <c r="A1105">
        <f>HYPERLINK("https://www.youtube.com/watch?v=zs5cQ6b_ZeY", "Video")</f>
        <v/>
      </c>
      <c r="B1105" t="inlineStr">
        <is>
          <t>7:22</t>
        </is>
      </c>
      <c r="C1105" t="inlineStr">
        <is>
          <t>Things move quite slowly,
really driven by marketing</t>
        </is>
      </c>
      <c r="D1105">
        <f>HYPERLINK("https://www.youtube.com/watch?v=zs5cQ6b_ZeY&amp;t=442s", "Go to time")</f>
        <v/>
      </c>
    </row>
    <row r="1106">
      <c r="A1106">
        <f>HYPERLINK("https://www.youtube.com/watch?v=zs5cQ6b_ZeY", "Video")</f>
        <v/>
      </c>
      <c r="B1106" t="inlineStr">
        <is>
          <t>25:40</t>
        </is>
      </c>
      <c r="C1106" t="inlineStr">
        <is>
          <t>is not going to be
sufficient to drive</t>
        </is>
      </c>
      <c r="D1106">
        <f>HYPERLINK("https://www.youtube.com/watch?v=zs5cQ6b_ZeY&amp;t=1540s", "Go to time")</f>
        <v/>
      </c>
    </row>
    <row r="1107">
      <c r="A1107">
        <f>HYPERLINK("https://www.youtube.com/watch?v=Yv1j7WBjQpQ", "Video")</f>
        <v/>
      </c>
      <c r="B1107" t="inlineStr">
        <is>
          <t>18:04</t>
        </is>
      </c>
      <c r="C1107" t="inlineStr">
        <is>
          <t>And when I drive
around, especially</t>
        </is>
      </c>
      <c r="D1107">
        <f>HYPERLINK("https://www.youtube.com/watch?v=Yv1j7WBjQpQ&amp;t=1084s", "Go to time")</f>
        <v/>
      </c>
    </row>
    <row r="1108">
      <c r="A1108">
        <f>HYPERLINK("https://www.youtube.com/watch?v=Yv1j7WBjQpQ", "Video")</f>
        <v/>
      </c>
      <c r="B1108" t="inlineStr">
        <is>
          <t>19:21</t>
        </is>
      </c>
      <c r="C1108" t="inlineStr">
        <is>
          <t>driven by digital technology.</t>
        </is>
      </c>
      <c r="D1108">
        <f>HYPERLINK("https://www.youtube.com/watch?v=Yv1j7WBjQpQ&amp;t=1161s", "Go to time")</f>
        <v/>
      </c>
    </row>
    <row r="1109">
      <c r="A1109">
        <f>HYPERLINK("https://www.youtube.com/watch?v=Yv1j7WBjQpQ", "Video")</f>
        <v/>
      </c>
      <c r="B1109" t="inlineStr">
        <is>
          <t>33:32</t>
        </is>
      </c>
      <c r="C1109" t="inlineStr">
        <is>
          <t>I had driven across the country
with my wife Kathy that summer</t>
        </is>
      </c>
      <c r="D1109">
        <f>HYPERLINK("https://www.youtube.com/watch?v=Yv1j7WBjQpQ&amp;t=2012s", "Go to time")</f>
        <v/>
      </c>
    </row>
    <row r="1110">
      <c r="A1110">
        <f>HYPERLINK("https://www.youtube.com/watch?v=tgqwv8Pk0qE", "Video")</f>
        <v/>
      </c>
      <c r="B1110" t="inlineStr">
        <is>
          <t>2:25</t>
        </is>
      </c>
      <c r="C1110" t="inlineStr">
        <is>
          <t>And these have been
driven by cost.</t>
        </is>
      </c>
      <c r="D1110">
        <f>HYPERLINK("https://www.youtube.com/watch?v=tgqwv8Pk0qE&amp;t=145s", "Go to time")</f>
        <v/>
      </c>
    </row>
    <row r="1111">
      <c r="A1111">
        <f>HYPERLINK("https://www.youtube.com/watch?v=tgqwv8Pk0qE", "Video")</f>
        <v/>
      </c>
      <c r="B1111" t="inlineStr">
        <is>
          <t>2:27</t>
        </is>
      </c>
      <c r="C1111" t="inlineStr">
        <is>
          <t>They've also been driven
by specialization.</t>
        </is>
      </c>
      <c r="D1111">
        <f>HYPERLINK("https://www.youtube.com/watch?v=tgqwv8Pk0qE&amp;t=147s", "Go to time")</f>
        <v/>
      </c>
    </row>
    <row r="1112">
      <c r="A1112">
        <f>HYPERLINK("https://www.youtube.com/watch?v=tgqwv8Pk0qE", "Video")</f>
        <v/>
      </c>
      <c r="B1112" t="inlineStr">
        <is>
          <t>4:23</t>
        </is>
      </c>
      <c r="C1112" t="inlineStr">
        <is>
          <t>which caused a massive
disruption to the disk drive</t>
        </is>
      </c>
      <c r="D1112">
        <f>HYPERLINK("https://www.youtube.com/watch?v=tgqwv8Pk0qE&amp;t=263s", "Go to time")</f>
        <v/>
      </c>
    </row>
    <row r="1113">
      <c r="A1113">
        <f>HYPERLINK("https://www.youtube.com/watch?v=tgqwv8Pk0qE", "Video")</f>
        <v/>
      </c>
      <c r="B1113" t="inlineStr">
        <is>
          <t>4:32</t>
        </is>
      </c>
      <c r="C1113" t="inlineStr">
        <is>
          <t>the world's disk
drives at that time.</t>
        </is>
      </c>
      <c r="D1113">
        <f>HYPERLINK("https://www.youtube.com/watch?v=tgqwv8Pk0qE&amp;t=272s", "Go to time")</f>
        <v/>
      </c>
    </row>
    <row r="1114">
      <c r="A1114">
        <f>HYPERLINK("https://www.youtube.com/watch?v=-W4_I4nX2uI", "Video")</f>
        <v/>
      </c>
      <c r="B1114" t="inlineStr">
        <is>
          <t>2:41</t>
        </is>
      </c>
      <c r="C1114" t="inlineStr">
        <is>
          <t>Their behavior is often
driven by common fears</t>
        </is>
      </c>
      <c r="D1114">
        <f>HYPERLINK("https://www.youtube.com/watch?v=-W4_I4nX2uI&amp;t=161s", "Go to time")</f>
        <v/>
      </c>
    </row>
    <row r="1115">
      <c r="A1115">
        <f>HYPERLINK("https://www.youtube.com/watch?v=iEZD5Ou7TeI", "Video")</f>
        <v/>
      </c>
      <c r="B1115" t="inlineStr">
        <is>
          <t>0:17</t>
        </is>
      </c>
      <c r="C1115" t="inlineStr">
        <is>
          <t>The leader who is driven
by power, fame, glory,</t>
        </is>
      </c>
      <c r="D1115">
        <f>HYPERLINK("https://www.youtube.com/watch?v=iEZD5Ou7TeI&amp;t=17s", "Go to time")</f>
        <v/>
      </c>
    </row>
    <row r="1116">
      <c r="A1116">
        <f>HYPERLINK("https://www.youtube.com/watch?v=YEt2DVQnzLM", "Video")</f>
        <v/>
      </c>
      <c r="B1116" t="inlineStr">
        <is>
          <t>2:36</t>
        </is>
      </c>
      <c r="C1116" t="inlineStr">
        <is>
          <t>drives you, what motivates you.</t>
        </is>
      </c>
      <c r="D1116">
        <f>HYPERLINK("https://www.youtube.com/watch?v=YEt2DVQnzLM&amp;t=156s", "Go to time")</f>
        <v/>
      </c>
    </row>
    <row r="1117">
      <c r="A1117">
        <f>HYPERLINK("https://www.youtube.com/watch?v=5m4hzh5jFMw", "Video")</f>
        <v/>
      </c>
      <c r="B1117" t="inlineStr">
        <is>
          <t>10:22</t>
        </is>
      </c>
      <c r="C1117" t="inlineStr">
        <is>
          <t>drive for cars, right?</t>
        </is>
      </c>
      <c r="D1117">
        <f>HYPERLINK("https://www.youtube.com/watch?v=5m4hzh5jFMw&amp;t=622s", "Go to time")</f>
        <v/>
      </c>
    </row>
    <row r="1118">
      <c r="A1118">
        <f>HYPERLINK("https://www.youtube.com/watch?v=5m4hzh5jFMw", "Video")</f>
        <v/>
      </c>
      <c r="B1118" t="inlineStr">
        <is>
          <t>10:38</t>
        </is>
      </c>
      <c r="C1118" t="inlineStr">
        <is>
          <t>I want to sit inside
and drive it and do</t>
        </is>
      </c>
      <c r="D1118">
        <f>HYPERLINK("https://www.youtube.com/watch?v=5m4hzh5jFMw&amp;t=638s", "Go to time")</f>
        <v/>
      </c>
    </row>
    <row r="1119">
      <c r="A1119">
        <f>HYPERLINK("https://www.youtube.com/watch?v=5m4hzh5jFMw", "Video")</f>
        <v/>
      </c>
      <c r="B1119" t="inlineStr">
        <is>
          <t>10:41</t>
        </is>
      </c>
      <c r="C1119" t="inlineStr">
        <is>
          <t>That's exactly what a
test drive does, right?</t>
        </is>
      </c>
      <c r="D1119">
        <f>HYPERLINK("https://www.youtube.com/watch?v=5m4hzh5jFMw&amp;t=641s", "Go to time")</f>
        <v/>
      </c>
    </row>
    <row r="1120">
      <c r="A1120">
        <f>HYPERLINK("https://www.youtube.com/watch?v=5m4hzh5jFMw", "Video")</f>
        <v/>
      </c>
      <c r="B1120" t="inlineStr">
        <is>
          <t>10:43</t>
        </is>
      </c>
      <c r="C1120" t="inlineStr">
        <is>
          <t>A test drive reduces
that barrier,</t>
        </is>
      </c>
      <c r="D1120">
        <f>HYPERLINK("https://www.youtube.com/watch?v=5m4hzh5jFMw&amp;t=643s", "Go to time")</f>
        <v/>
      </c>
    </row>
    <row r="1121">
      <c r="A1121">
        <f>HYPERLINK("https://www.youtube.com/watch?v=KPNbp3_4nQ0", "Video")</f>
        <v/>
      </c>
      <c r="B1121" t="inlineStr">
        <is>
          <t>12:39</t>
        </is>
      </c>
      <c r="C1121" t="inlineStr">
        <is>
          <t>going to drive
sustainable change</t>
        </is>
      </c>
      <c r="D1121">
        <f>HYPERLINK("https://www.youtube.com/watch?v=KPNbp3_4nQ0&amp;t=759s", "Go to time")</f>
        <v/>
      </c>
    </row>
    <row r="1122">
      <c r="A1122">
        <f>HYPERLINK("https://www.youtube.com/watch?v=KPNbp3_4nQ0", "Video")</f>
        <v/>
      </c>
      <c r="B1122" t="inlineStr">
        <is>
          <t>27:07</t>
        </is>
      </c>
      <c r="C1122" t="inlineStr">
        <is>
          <t>to really drive this work as an
important part of the business.</t>
        </is>
      </c>
      <c r="D1122">
        <f>HYPERLINK("https://www.youtube.com/watch?v=KPNbp3_4nQ0&amp;t=1627s", "Go to time")</f>
        <v/>
      </c>
    </row>
    <row r="1123">
      <c r="A1123">
        <f>HYPERLINK("https://www.youtube.com/watch?v=KPNbp3_4nQ0", "Video")</f>
        <v/>
      </c>
      <c r="B1123" t="inlineStr">
        <is>
          <t>31:16</t>
        </is>
      </c>
      <c r="C1123" t="inlineStr">
        <is>
          <t>drive their organizations
in that way.</t>
        </is>
      </c>
      <c r="D1123">
        <f>HYPERLINK("https://www.youtube.com/watch?v=KPNbp3_4nQ0&amp;t=1876s", "Go to time")</f>
        <v/>
      </c>
    </row>
    <row r="1124">
      <c r="A1124">
        <f>HYPERLINK("https://www.youtube.com/watch?v=FExp9YuTzbY", "Video")</f>
        <v/>
      </c>
      <c r="B1124" t="inlineStr">
        <is>
          <t>2:09</t>
        </is>
      </c>
      <c r="C1124" t="inlineStr">
        <is>
          <t>plus be community driven and</t>
        </is>
      </c>
      <c r="D1124">
        <f>HYPERLINK("https://www.youtube.com/watch?v=FExp9YuTzbY&amp;t=129s", "Go to time")</f>
        <v/>
      </c>
    </row>
    <row r="1125">
      <c r="A1125">
        <f>HYPERLINK("https://www.youtube.com/watch?v=tXB2f6vk-q4", "Video")</f>
        <v/>
      </c>
      <c r="B1125" t="inlineStr">
        <is>
          <t>26:05</t>
        </is>
      </c>
      <c r="C1125" t="inlineStr">
        <is>
          <t>at resilience in engagement that drives</t>
        </is>
      </c>
      <c r="D1125">
        <f>HYPERLINK("https://www.youtube.com/watch?v=tXB2f6vk-q4&amp;t=1565s", "Go to time")</f>
        <v/>
      </c>
    </row>
    <row r="1126">
      <c r="A1126">
        <f>HYPERLINK("https://www.youtube.com/watch?v=tXB2f6vk-q4", "Video")</f>
        <v/>
      </c>
      <c r="B1126" t="inlineStr">
        <is>
          <t>26:13</t>
        </is>
      </c>
      <c r="C1126" t="inlineStr">
        <is>
          <t>employee turnover so love drives to the</t>
        </is>
      </c>
      <c r="D1126">
        <f>HYPERLINK("https://www.youtube.com/watch?v=tXB2f6vk-q4&amp;t=1573s", "Go to time")</f>
        <v/>
      </c>
    </row>
    <row r="1127">
      <c r="A1127">
        <f>HYPERLINK("https://www.youtube.com/watch?v=gziUmTOFyr8", "Video")</f>
        <v/>
      </c>
      <c r="B1127" t="inlineStr">
        <is>
          <t>3:34</t>
        </is>
      </c>
      <c r="C1127" t="inlineStr">
        <is>
          <t>of whose main value
drivers is comfort,</t>
        </is>
      </c>
      <c r="D1127">
        <f>HYPERLINK("https://www.youtube.com/watch?v=gziUmTOFyr8&amp;t=214s", "Go to time")</f>
        <v/>
      </c>
    </row>
    <row r="1128">
      <c r="A1128">
        <f>HYPERLINK("https://www.youtube.com/watch?v=gziUmTOFyr8", "Video")</f>
        <v/>
      </c>
      <c r="B1128" t="inlineStr">
        <is>
          <t>18:11</t>
        </is>
      </c>
      <c r="C1128" t="inlineStr">
        <is>
          <t>And so in order for
us to drive that</t>
        </is>
      </c>
      <c r="D1128">
        <f>HYPERLINK("https://www.youtube.com/watch?v=gziUmTOFyr8&amp;t=1091s", "Go to time")</f>
        <v/>
      </c>
    </row>
    <row r="1129">
      <c r="A1129">
        <f>HYPERLINK("https://www.youtube.com/watch?v=gziUmTOFyr8", "Video")</f>
        <v/>
      </c>
      <c r="B1129" t="inlineStr">
        <is>
          <t>19:58</t>
        </is>
      </c>
      <c r="C1129" t="inlineStr">
        <is>
          <t>to drive down its cost, to
increase economies of scale.</t>
        </is>
      </c>
      <c r="D1129">
        <f>HYPERLINK("https://www.youtube.com/watch?v=gziUmTOFyr8&amp;t=1198s", "Go to time")</f>
        <v/>
      </c>
    </row>
    <row r="1130">
      <c r="A1130">
        <f>HYPERLINK("https://www.youtube.com/watch?v=gziUmTOFyr8", "Video")</f>
        <v/>
      </c>
      <c r="B1130" t="inlineStr">
        <is>
          <t>20:31</t>
        </is>
      </c>
      <c r="C1130" t="inlineStr">
        <is>
          <t>so you can drive them
down an experience curve,</t>
        </is>
      </c>
      <c r="D1130">
        <f>HYPERLINK("https://www.youtube.com/watch?v=gziUmTOFyr8&amp;t=1231s", "Go to time")</f>
        <v/>
      </c>
    </row>
    <row r="1131">
      <c r="A1131">
        <f>HYPERLINK("https://www.youtube.com/watch?v=PbpVliJEwkE", "Video")</f>
        <v/>
      </c>
      <c r="B1131" t="inlineStr">
        <is>
          <t>3:17</t>
        </is>
      </c>
      <c r="C1131" t="inlineStr">
        <is>
          <t>to drive audience growth
in the United States,</t>
        </is>
      </c>
      <c r="D1131">
        <f>HYPERLINK("https://www.youtube.com/watch?v=PbpVliJEwkE&amp;t=197s", "Go to time")</f>
        <v/>
      </c>
    </row>
    <row r="1132">
      <c r="A1132">
        <f>HYPERLINK("https://www.youtube.com/watch?v=PbpVliJEwkE", "Video")</f>
        <v/>
      </c>
      <c r="B1132" t="inlineStr">
        <is>
          <t>3:35</t>
        </is>
      </c>
      <c r="C1132" t="inlineStr">
        <is>
          <t>Because I think I've driven many
of these social media platforms</t>
        </is>
      </c>
      <c r="D1132">
        <f>HYPERLINK("https://www.youtube.com/watch?v=PbpVliJEwkE&amp;t=215s", "Go to time")</f>
        <v/>
      </c>
    </row>
    <row r="1133">
      <c r="A1133">
        <f>HYPERLINK("https://www.youtube.com/watch?v=PbpVliJEwkE", "Video")</f>
        <v/>
      </c>
      <c r="B1133" t="inlineStr">
        <is>
          <t>3:53</t>
        </is>
      </c>
      <c r="C1133" t="inlineStr">
        <is>
          <t>and will drive the
virality of the app,</t>
        </is>
      </c>
      <c r="D1133">
        <f>HYPERLINK("https://www.youtube.com/watch?v=PbpVliJEwkE&amp;t=233s", "Go to time")</f>
        <v/>
      </c>
    </row>
    <row r="1134">
      <c r="A1134">
        <f>HYPERLINK("https://www.youtube.com/watch?v=PbpVliJEwkE", "Video")</f>
        <v/>
      </c>
      <c r="B1134" t="inlineStr">
        <is>
          <t>24:31</t>
        </is>
      </c>
      <c r="C1134" t="inlineStr">
        <is>
          <t>so $3 million a day
to drive downloads.</t>
        </is>
      </c>
      <c r="D1134">
        <f>HYPERLINK("https://www.youtube.com/watch?v=PbpVliJEwkE&amp;t=1471s", "Go to time")</f>
        <v/>
      </c>
    </row>
    <row r="1135">
      <c r="A1135">
        <f>HYPERLINK("https://www.youtube.com/watch?v=Nl-PpoKtxc4", "Video")</f>
        <v/>
      </c>
      <c r="B1135" t="inlineStr">
        <is>
          <t>8:04</t>
        </is>
      </c>
      <c r="C1135" t="inlineStr">
        <is>
          <t>and to drive more ownership.</t>
        </is>
      </c>
      <c r="D1135">
        <f>HYPERLINK("https://www.youtube.com/watch?v=Nl-PpoKtxc4&amp;t=484s", "Go to time")</f>
        <v/>
      </c>
    </row>
    <row r="1136">
      <c r="A1136">
        <f>HYPERLINK("https://www.youtube.com/watch?v=r5O0yKixfjI", "Video")</f>
        <v/>
      </c>
      <c r="B1136" t="inlineStr">
        <is>
          <t>31:58</t>
        </is>
      </c>
      <c r="C1136" t="inlineStr">
        <is>
          <t>And so your brain just
goes in overdrive.</t>
        </is>
      </c>
      <c r="D1136">
        <f>HYPERLINK("https://www.youtube.com/watch?v=r5O0yKixfjI&amp;t=1918s", "Go to time")</f>
        <v/>
      </c>
    </row>
    <row r="1137">
      <c r="A1137">
        <f>HYPERLINK("https://www.youtube.com/watch?v=muX-EKjs28g", "Video")</f>
        <v/>
      </c>
      <c r="B1137" t="inlineStr">
        <is>
          <t>8:58</t>
        </is>
      </c>
      <c r="C1137" t="inlineStr">
        <is>
          <t>But Timnit comes from a highly
technology-driven family.</t>
        </is>
      </c>
      <c r="D1137">
        <f>HYPERLINK("https://www.youtube.com/watch?v=muX-EKjs28g&amp;t=538s", "Go to time")</f>
        <v/>
      </c>
    </row>
    <row r="1138">
      <c r="A1138">
        <f>HYPERLINK("https://www.youtube.com/watch?v=muX-EKjs28g", "Video")</f>
        <v/>
      </c>
      <c r="B1138" t="inlineStr">
        <is>
          <t>23:58</t>
        </is>
      </c>
      <c r="C1138" t="inlineStr">
        <is>
          <t>how you will drive AI
bias or ethical issues out</t>
        </is>
      </c>
      <c r="D1138">
        <f>HYPERLINK("https://www.youtube.com/watch?v=muX-EKjs28g&amp;t=1438s", "Go to time")</f>
        <v/>
      </c>
    </row>
    <row r="1139">
      <c r="A1139">
        <f>HYPERLINK("https://www.youtube.com/watch?v=oJAc9-huRWs", "Video")</f>
        <v/>
      </c>
      <c r="B1139" t="inlineStr">
        <is>
          <t>4:36</t>
        </is>
      </c>
      <c r="C1139" t="inlineStr">
        <is>
          <t>but they're not driven by the</t>
        </is>
      </c>
      <c r="D1139">
        <f>HYPERLINK("https://www.youtube.com/watch?v=oJAc9-huRWs&amp;t=276s", "Go to time")</f>
        <v/>
      </c>
    </row>
    <row r="1140">
      <c r="A1140">
        <f>HYPERLINK("https://www.youtube.com/watch?v=oJAc9-huRWs", "Video")</f>
        <v/>
      </c>
      <c r="B1140" t="inlineStr">
        <is>
          <t>5:05</t>
        </is>
      </c>
      <c r="C1140" t="inlineStr">
        <is>
          <t>are probably very purpose driven leaders</t>
        </is>
      </c>
      <c r="D1140">
        <f>HYPERLINK("https://www.youtube.com/watch?v=oJAc9-huRWs&amp;t=305s", "Go to time")</f>
        <v/>
      </c>
    </row>
    <row r="1141">
      <c r="A1141">
        <f>HYPERLINK("https://www.youtube.com/watch?v=oJAc9-huRWs", "Video")</f>
        <v/>
      </c>
      <c r="B1141" t="inlineStr">
        <is>
          <t>5:43</t>
        </is>
      </c>
      <c r="C1141" t="inlineStr">
        <is>
          <t>needed to drive prosperity what do i</t>
        </is>
      </c>
      <c r="D1141">
        <f>HYPERLINK("https://www.youtube.com/watch?v=oJAc9-huRWs&amp;t=343s", "Go to time")</f>
        <v/>
      </c>
    </row>
    <row r="1142">
      <c r="A1142">
        <f>HYPERLINK("https://www.youtube.com/watch?v=oJAc9-huRWs", "Video")</f>
        <v/>
      </c>
      <c r="B1142" t="inlineStr">
        <is>
          <t>7:05</t>
        </is>
      </c>
      <c r="C1142" t="inlineStr">
        <is>
          <t>are so strongly purpose driven that uh</t>
        </is>
      </c>
      <c r="D1142">
        <f>HYPERLINK("https://www.youtube.com/watch?v=oJAc9-huRWs&amp;t=425s", "Go to time")</f>
        <v/>
      </c>
    </row>
    <row r="1143">
      <c r="A1143">
        <f>HYPERLINK("https://www.youtube.com/watch?v=oJAc9-huRWs", "Video")</f>
        <v/>
      </c>
      <c r="B1143" t="inlineStr">
        <is>
          <t>10:01</t>
        </is>
      </c>
      <c r="C1143" t="inlineStr">
        <is>
          <t>that companies that are driven by these</t>
        </is>
      </c>
      <c r="D1143">
        <f>HYPERLINK("https://www.youtube.com/watch?v=oJAc9-huRWs&amp;t=601s", "Go to time")</f>
        <v/>
      </c>
    </row>
    <row r="1144">
      <c r="A1144">
        <f>HYPERLINK("https://www.youtube.com/watch?v=oJAc9-huRWs", "Video")</f>
        <v/>
      </c>
      <c r="B1144" t="inlineStr">
        <is>
          <t>18:08</t>
        </is>
      </c>
      <c r="C1144" t="inlineStr">
        <is>
          <t>purpose-driven company if you're not</t>
        </is>
      </c>
      <c r="D1144">
        <f>HYPERLINK("https://www.youtube.com/watch?v=oJAc9-huRWs&amp;t=1088s", "Go to time")</f>
        <v/>
      </c>
    </row>
    <row r="1145">
      <c r="A1145">
        <f>HYPERLINK("https://www.youtube.com/watch?v=oJAc9-huRWs", "Video")</f>
        <v/>
      </c>
      <c r="B1145" t="inlineStr">
        <is>
          <t>20:16</t>
        </is>
      </c>
      <c r="C1145" t="inlineStr">
        <is>
          <t>the core that are purpose driven and if</t>
        </is>
      </c>
      <c r="D1145">
        <f>HYPERLINK("https://www.youtube.com/watch?v=oJAc9-huRWs&amp;t=1216s", "Go to time")</f>
        <v/>
      </c>
    </row>
    <row r="1146">
      <c r="A1146">
        <f>HYPERLINK("https://www.youtube.com/watch?v=oJAc9-huRWs", "Video")</f>
        <v/>
      </c>
      <c r="B1146" t="inlineStr">
        <is>
          <t>28:12</t>
        </is>
      </c>
      <c r="C1146" t="inlineStr">
        <is>
          <t>drivers is uh</t>
        </is>
      </c>
      <c r="D1146">
        <f>HYPERLINK("https://www.youtube.com/watch?v=oJAc9-huRWs&amp;t=1692s", "Go to time")</f>
        <v/>
      </c>
    </row>
    <row r="1147">
      <c r="A1147">
        <f>HYPERLINK("https://www.youtube.com/watch?v=oJAc9-huRWs", "Video")</f>
        <v/>
      </c>
      <c r="B1147" t="inlineStr">
        <is>
          <t>29:08</t>
        </is>
      </c>
      <c r="C1147" t="inlineStr">
        <is>
          <t>that they are purpose driven and and uh</t>
        </is>
      </c>
      <c r="D1147">
        <f>HYPERLINK("https://www.youtube.com/watch?v=oJAc9-huRWs&amp;t=1748s", "Go to time")</f>
        <v/>
      </c>
    </row>
    <row r="1148">
      <c r="A1148">
        <f>HYPERLINK("https://www.youtube.com/watch?v=oJAc9-huRWs", "Video")</f>
        <v/>
      </c>
      <c r="B1148" t="inlineStr">
        <is>
          <t>35:17</t>
        </is>
      </c>
      <c r="C1148" t="inlineStr">
        <is>
          <t>you do that because you're driven you</t>
        </is>
      </c>
      <c r="D1148">
        <f>HYPERLINK("https://www.youtube.com/watch?v=oJAc9-huRWs&amp;t=2117s", "Go to time")</f>
        <v/>
      </c>
    </row>
    <row r="1149">
      <c r="A1149">
        <f>HYPERLINK("https://www.youtube.com/watch?v=oJAc9-huRWs", "Video")</f>
        <v/>
      </c>
      <c r="B1149" t="inlineStr">
        <is>
          <t>35:19</t>
        </is>
      </c>
      <c r="C1149" t="inlineStr">
        <is>
          <t>know you're driven by this this broader</t>
        </is>
      </c>
      <c r="D1149">
        <f>HYPERLINK("https://www.youtube.com/watch?v=oJAc9-huRWs&amp;t=2119s", "Go to time")</f>
        <v/>
      </c>
    </row>
    <row r="1150">
      <c r="A1150">
        <f>HYPERLINK("https://www.youtube.com/watch?v=Lm-EMZf4yzc", "Video")</f>
        <v/>
      </c>
      <c r="B1150" t="inlineStr">
        <is>
          <t>17:42</t>
        </is>
      </c>
      <c r="C1150" t="inlineStr">
        <is>
          <t>of crisis, we could
drive decision</t>
        </is>
      </c>
      <c r="D1150">
        <f>HYPERLINK("https://www.youtube.com/watch?v=Lm-EMZf4yzc&amp;t=1062s", "Go to time")</f>
        <v/>
      </c>
    </row>
    <row r="1151">
      <c r="A1151">
        <f>HYPERLINK("https://www.youtube.com/watch?v=Lm-EMZf4yzc", "Video")</f>
        <v/>
      </c>
      <c r="B1151" t="inlineStr">
        <is>
          <t>18:56</t>
        </is>
      </c>
      <c r="C1151" t="inlineStr">
        <is>
          <t>purpose driven empowerment,
thrives and survives.</t>
        </is>
      </c>
      <c r="D1151">
        <f>HYPERLINK("https://www.youtube.com/watch?v=Lm-EMZf4yzc&amp;t=1136s", "Go to time")</f>
        <v/>
      </c>
    </row>
    <row r="1152">
      <c r="A1152">
        <f>HYPERLINK("https://www.youtube.com/watch?v=HkzmNQ7iauw", "Video")</f>
        <v/>
      </c>
      <c r="B1152" t="inlineStr">
        <is>
          <t>21:36</t>
        </is>
      </c>
      <c r="C1152" t="inlineStr">
        <is>
          <t>trying to drive the price
gap, the price cap levels,</t>
        </is>
      </c>
      <c r="D1152">
        <f>HYPERLINK("https://www.youtube.com/watch?v=HkzmNQ7iauw&amp;t=1296s", "Go to time")</f>
        <v/>
      </c>
    </row>
    <row r="1153">
      <c r="A1153">
        <f>HYPERLINK("https://www.youtube.com/watch?v=BjjjrNAM_Qk", "Video")</f>
        <v/>
      </c>
      <c r="B1153" t="inlineStr">
        <is>
          <t>14:09</t>
        </is>
      </c>
      <c r="C1153" t="inlineStr">
        <is>
          <t>All those things add together
to drive a very different risk</t>
        </is>
      </c>
      <c r="D1153">
        <f>HYPERLINK("https://www.youtube.com/watch?v=BjjjrNAM_Qk&amp;t=849s", "Go to time")</f>
        <v/>
      </c>
    </row>
    <row r="1154">
      <c r="A1154">
        <f>HYPERLINK("https://www.youtube.com/watch?v=BjjjrNAM_Qk", "Video")</f>
        <v/>
      </c>
      <c r="B1154" t="inlineStr">
        <is>
          <t>16:44</t>
        </is>
      </c>
      <c r="C1154" t="inlineStr">
        <is>
          <t>what really truly drives your
cyber risk going forward.</t>
        </is>
      </c>
      <c r="D1154">
        <f>HYPERLINK("https://www.youtube.com/watch?v=BjjjrNAM_Qk&amp;t=1004s", "Go to time")</f>
        <v/>
      </c>
    </row>
    <row r="1155">
      <c r="A1155">
        <f>HYPERLINK("https://www.youtube.com/watch?v=BjjjrNAM_Qk", "Video")</f>
        <v/>
      </c>
      <c r="B1155" t="inlineStr">
        <is>
          <t>18:57</t>
        </is>
      </c>
      <c r="C1155" t="inlineStr">
        <is>
          <t>that drives new risks.</t>
        </is>
      </c>
      <c r="D1155">
        <f>HYPERLINK("https://www.youtube.com/watch?v=BjjjrNAM_Qk&amp;t=1137s", "Go to time")</f>
        <v/>
      </c>
    </row>
    <row r="1156">
      <c r="A1156">
        <f>HYPERLINK("https://www.youtube.com/watch?v=Z12dACPRtSo", "Video")</f>
        <v/>
      </c>
      <c r="B1156" t="inlineStr">
        <is>
          <t>22:28</t>
        </is>
      </c>
      <c r="C1156" t="inlineStr">
        <is>
          <t>MURIEL WILKINS: It's
very point-driven.</t>
        </is>
      </c>
      <c r="D1156">
        <f>HYPERLINK("https://www.youtube.com/watch?v=Z12dACPRtSo&amp;t=1348s", "Go to time")</f>
        <v/>
      </c>
    </row>
    <row r="1157">
      <c r="A1157">
        <f>HYPERLINK("https://www.youtube.com/watch?v=Z12dACPRtSo", "Video")</f>
        <v/>
      </c>
      <c r="B1157" t="inlineStr">
        <is>
          <t>22:30</t>
        </is>
      </c>
      <c r="C1157" t="inlineStr">
        <is>
          <t>It's very score-driven.</t>
        </is>
      </c>
      <c r="D1157">
        <f>HYPERLINK("https://www.youtube.com/watch?v=Z12dACPRtSo&amp;t=1350s", "Go to time")</f>
        <v/>
      </c>
    </row>
    <row r="1158">
      <c r="A1158">
        <f>HYPERLINK("https://www.youtube.com/watch?v=Z12dACPRtSo", "Video")</f>
        <v/>
      </c>
      <c r="B1158" t="inlineStr">
        <is>
          <t>27:51</t>
        </is>
      </c>
      <c r="C1158" t="inlineStr">
        <is>
          <t>It's motive-driven.</t>
        </is>
      </c>
      <c r="D1158">
        <f>HYPERLINK("https://www.youtube.com/watch?v=Z12dACPRtSo&amp;t=1671s", "Go to time")</f>
        <v/>
      </c>
    </row>
    <row r="1159">
      <c r="A1159">
        <f>HYPERLINK("https://www.youtube.com/watch?v=Z12dACPRtSo", "Video")</f>
        <v/>
      </c>
      <c r="B1159" t="inlineStr">
        <is>
          <t>42:02</t>
        </is>
      </c>
      <c r="C1159" t="inlineStr">
        <is>
          <t>It's like when I
take long drives,</t>
        </is>
      </c>
      <c r="D1159">
        <f>HYPERLINK("https://www.youtube.com/watch?v=Z12dACPRtSo&amp;t=2522s", "Go to time")</f>
        <v/>
      </c>
    </row>
    <row r="1160">
      <c r="A1160">
        <f>HYPERLINK("https://www.youtube.com/watch?v=yp5vmeoId34", "Video")</f>
        <v/>
      </c>
      <c r="B1160" t="inlineStr">
        <is>
          <t>7:41</t>
        </is>
      </c>
      <c r="C1160" t="inlineStr">
        <is>
          <t>Mission driven and having a very clear</t>
        </is>
      </c>
      <c r="D1160">
        <f>HYPERLINK("https://www.youtube.com/watch?v=yp5vmeoId34&amp;t=461s", "Go to time")</f>
        <v/>
      </c>
    </row>
    <row r="1161">
      <c r="A1161">
        <f>HYPERLINK("https://www.youtube.com/watch?v=BVHw8aCPATM", "Video")</f>
        <v/>
      </c>
      <c r="B1161" t="inlineStr">
        <is>
          <t>1:24</t>
        </is>
      </c>
      <c r="C1161" t="inlineStr">
        <is>
          <t>Extraordinary outcome, all
driven by Bobby's ability</t>
        </is>
      </c>
      <c r="D1161">
        <f>HYPERLINK("https://www.youtube.com/watch?v=BVHw8aCPATM&amp;t=84s", "Go to time")</f>
        <v/>
      </c>
    </row>
    <row r="1162">
      <c r="A1162">
        <f>HYPERLINK("https://www.youtube.com/watch?v=6c6jqssJwkk", "Video")</f>
        <v/>
      </c>
      <c r="B1162" t="inlineStr">
        <is>
          <t>2:03</t>
        </is>
      </c>
      <c r="C1162" t="inlineStr">
        <is>
          <t>What drives you bananas
about how you see</t>
        </is>
      </c>
      <c r="D1162">
        <f>HYPERLINK("https://www.youtube.com/watch?v=6c6jqssJwkk&amp;t=123s", "Go to time")</f>
        <v/>
      </c>
    </row>
    <row r="1163">
      <c r="A1163">
        <f>HYPERLINK("https://www.youtube.com/watch?v=6c6jqssJwkk", "Video")</f>
        <v/>
      </c>
      <c r="B1163" t="inlineStr">
        <is>
          <t>4:59</t>
        </is>
      </c>
      <c r="C1163" t="inlineStr">
        <is>
          <t>JAKE KNAPP: Another thing
that drives me nuts is</t>
        </is>
      </c>
      <c r="D1163">
        <f>HYPERLINK("https://www.youtube.com/watch?v=6c6jqssJwkk&amp;t=299s", "Go to time")</f>
        <v/>
      </c>
    </row>
    <row r="1164">
      <c r="A1164">
        <f>HYPERLINK("https://www.youtube.com/watch?v=bVdQkQjk9gk", "Video")</f>
        <v/>
      </c>
      <c r="B1164" t="inlineStr">
        <is>
          <t>2:10</t>
        </is>
      </c>
      <c r="C1164" t="inlineStr">
        <is>
          <t>drivers of productivity
and growth.</t>
        </is>
      </c>
      <c r="D1164">
        <f>HYPERLINK("https://www.youtube.com/watch?v=bVdQkQjk9gk&amp;t=130s", "Go to time")</f>
        <v/>
      </c>
    </row>
    <row r="1165">
      <c r="A1165">
        <f>HYPERLINK("https://www.youtube.com/watch?v=vwpe4n2vO-o", "Video")</f>
        <v/>
      </c>
      <c r="B1165" t="inlineStr">
        <is>
          <t>2:08</t>
        </is>
      </c>
      <c r="C1165" t="inlineStr">
        <is>
          <t>driver's license my mom said what job</t>
        </is>
      </c>
      <c r="D1165">
        <f>HYPERLINK("https://www.youtube.com/watch?v=vwpe4n2vO-o&amp;t=128s", "Go to time")</f>
        <v/>
      </c>
    </row>
    <row r="1166">
      <c r="A1166">
        <f>HYPERLINK("https://www.youtube.com/watch?v=vwpe4n2vO-o", "Video")</f>
        <v/>
      </c>
      <c r="B1166" t="inlineStr">
        <is>
          <t>19:02</t>
        </is>
      </c>
      <c r="C1166" t="inlineStr">
        <is>
          <t>driven a big trade business so but they</t>
        </is>
      </c>
      <c r="D1166">
        <f>HYPERLINK("https://www.youtube.com/watch?v=vwpe4n2vO-o&amp;t=1142s", "Go to time")</f>
        <v/>
      </c>
    </row>
    <row r="1167">
      <c r="A1167">
        <f>HYPERLINK("https://www.youtube.com/watch?v=vwpe4n2vO-o", "Video")</f>
        <v/>
      </c>
      <c r="B1167" t="inlineStr">
        <is>
          <t>22:24</t>
        </is>
      </c>
      <c r="C1167" t="inlineStr">
        <is>
          <t>being driven by experience</t>
        </is>
      </c>
      <c r="D1167">
        <f>HYPERLINK("https://www.youtube.com/watch?v=vwpe4n2vO-o&amp;t=1344s", "Go to time")</f>
        <v/>
      </c>
    </row>
    <row r="1168">
      <c r="A1168">
        <f>HYPERLINK("https://www.youtube.com/watch?v=z9BuPIXiwq0", "Video")</f>
        <v/>
      </c>
      <c r="B1168" t="inlineStr">
        <is>
          <t>0:49</t>
        </is>
      </c>
      <c r="C1168" t="inlineStr">
        <is>
          <t>and she continues to
be driven by the work</t>
        </is>
      </c>
      <c r="D1168">
        <f>HYPERLINK("https://www.youtube.com/watch?v=z9BuPIXiwq0&amp;t=49s", "Go to time")</f>
        <v/>
      </c>
    </row>
    <row r="1169">
      <c r="A1169">
        <f>HYPERLINK("https://www.youtube.com/watch?v=z9BuPIXiwq0", "Video")</f>
        <v/>
      </c>
      <c r="B1169" t="inlineStr">
        <is>
          <t>27:35</t>
        </is>
      </c>
      <c r="C1169" t="inlineStr">
        <is>
          <t>to kind of see the whole
process and own it and drive it</t>
        </is>
      </c>
      <c r="D1169">
        <f>HYPERLINK("https://www.youtube.com/watch?v=z9BuPIXiwq0&amp;t=1655s", "Go to time")</f>
        <v/>
      </c>
    </row>
    <row r="1170">
      <c r="A1170">
        <f>HYPERLINK("https://www.youtube.com/watch?v=kuJt__gk5zQ", "Video")</f>
        <v/>
      </c>
      <c r="B1170" t="inlineStr">
        <is>
          <t>4:24</t>
        </is>
      </c>
      <c r="C1170" t="inlineStr">
        <is>
          <t>as a purpose-driven healthcare company</t>
        </is>
      </c>
      <c r="D1170">
        <f>HYPERLINK("https://www.youtube.com/watch?v=kuJt__gk5zQ&amp;t=264s", "Go to time")</f>
        <v/>
      </c>
    </row>
    <row r="1171">
      <c r="A1171">
        <f>HYPERLINK("https://www.youtube.com/watch?v=kuJt__gk5zQ", "Video")</f>
        <v/>
      </c>
      <c r="B1171" t="inlineStr">
        <is>
          <t>10:26</t>
        </is>
      </c>
      <c r="C1171" t="inlineStr">
        <is>
          <t>you drive culture how do you sustain</t>
        </is>
      </c>
      <c r="D1171">
        <f>HYPERLINK("https://www.youtube.com/watch?v=kuJt__gk5zQ&amp;t=626s", "Go to time")</f>
        <v/>
      </c>
    </row>
    <row r="1172">
      <c r="A1172">
        <f>HYPERLINK("https://www.youtube.com/watch?v=kuJt__gk5zQ", "Video")</f>
        <v/>
      </c>
      <c r="B1172" t="inlineStr">
        <is>
          <t>20:16</t>
        </is>
      </c>
      <c r="C1172" t="inlineStr">
        <is>
          <t>to work in a purpose-driven company</t>
        </is>
      </c>
      <c r="D1172">
        <f>HYPERLINK("https://www.youtube.com/watch?v=kuJt__gk5zQ&amp;t=1216s", "Go to time")</f>
        <v/>
      </c>
    </row>
    <row r="1173">
      <c r="A1173">
        <f>HYPERLINK("https://www.youtube.com/watch?v=kuJt__gk5zQ", "Video")</f>
        <v/>
      </c>
      <c r="B1173" t="inlineStr">
        <is>
          <t>26:21</t>
        </is>
      </c>
      <c r="C1173" t="inlineStr">
        <is>
          <t>and when you really are driven and</t>
        </is>
      </c>
      <c r="D1173">
        <f>HYPERLINK("https://www.youtube.com/watch?v=kuJt__gk5zQ&amp;t=1581s", "Go to time")</f>
        <v/>
      </c>
    </row>
    <row r="1174">
      <c r="A1174">
        <f>HYPERLINK("https://www.youtube.com/watch?v=kuJt__gk5zQ", "Video")</f>
        <v/>
      </c>
      <c r="B1174" t="inlineStr">
        <is>
          <t>26:22</t>
        </is>
      </c>
      <c r="C1174" t="inlineStr">
        <is>
          <t>you're purpose driven you find a way and</t>
        </is>
      </c>
      <c r="D1174">
        <f>HYPERLINK("https://www.youtube.com/watch?v=kuJt__gk5zQ&amp;t=1582s", "Go to time")</f>
        <v/>
      </c>
    </row>
    <row r="1175">
      <c r="A1175">
        <f>HYPERLINK("https://www.youtube.com/watch?v=kuJt__gk5zQ", "Video")</f>
        <v/>
      </c>
      <c r="B1175" t="inlineStr">
        <is>
          <t>31:04</t>
        </is>
      </c>
      <c r="C1175" t="inlineStr">
        <is>
          <t>if you're purpose driven and you care</t>
        </is>
      </c>
      <c r="D1175">
        <f>HYPERLINK("https://www.youtube.com/watch?v=kuJt__gk5zQ&amp;t=1864s", "Go to time")</f>
        <v/>
      </c>
    </row>
    <row r="1176">
      <c r="A1176">
        <f>HYPERLINK("https://www.youtube.com/watch?v=IRG-YubP1rw", "Video")</f>
        <v/>
      </c>
      <c r="B1176" t="inlineStr">
        <is>
          <t>9:26</t>
        </is>
      </c>
      <c r="C1176" t="inlineStr">
        <is>
          <t>they wave a white flag to
signal to all the drivers</t>
        </is>
      </c>
      <c r="D1176">
        <f>HYPERLINK("https://www.youtube.com/watch?v=IRG-YubP1rw&amp;t=566s", "Go to time")</f>
        <v/>
      </c>
    </row>
    <row r="1177">
      <c r="A1177">
        <f>HYPERLINK("https://www.youtube.com/watch?v=TvV7HJLkkQw", "Video")</f>
        <v/>
      </c>
      <c r="B1177" t="inlineStr">
        <is>
          <t>5:39</t>
        </is>
      </c>
      <c r="C1177" t="inlineStr">
        <is>
          <t>because if we acknowledge that
all human behavior is driven</t>
        </is>
      </c>
      <c r="D1177">
        <f>HYPERLINK("https://www.youtube.com/watch?v=TvV7HJLkkQw&amp;t=339s", "Go to time")</f>
        <v/>
      </c>
    </row>
    <row r="1178">
      <c r="A1178">
        <f>HYPERLINK("https://www.youtube.com/watch?v=TvV7HJLkkQw", "Video")</f>
        <v/>
      </c>
      <c r="B1178" t="inlineStr">
        <is>
          <t>13:33</t>
        </is>
      </c>
      <c r="C1178" t="inlineStr">
        <is>
          <t>It drives me crazy.</t>
        </is>
      </c>
      <c r="D1178">
        <f>HYPERLINK("https://www.youtube.com/watch?v=TvV7HJLkkQw&amp;t=813s", "Go to time")</f>
        <v/>
      </c>
    </row>
    <row r="1179">
      <c r="A1179">
        <f>HYPERLINK("https://www.youtube.com/watch?v=UdQIL3YdyJM", "Video")</f>
        <v/>
      </c>
      <c r="B1179" t="inlineStr">
        <is>
          <t>8:29</t>
        </is>
      </c>
      <c r="C1179" t="inlineStr">
        <is>
          <t>orientated and more e-commerce driven</t>
        </is>
      </c>
      <c r="D1179">
        <f>HYPERLINK("https://www.youtube.com/watch?v=UdQIL3YdyJM&amp;t=509s", "Go to time")</f>
        <v/>
      </c>
    </row>
    <row r="1180">
      <c r="A1180">
        <f>HYPERLINK("https://www.youtube.com/watch?v=UdQIL3YdyJM", "Video")</f>
        <v/>
      </c>
      <c r="B1180" t="inlineStr">
        <is>
          <t>11:57</t>
        </is>
      </c>
      <c r="C1180" t="inlineStr">
        <is>
          <t>in america to continue to drive the</t>
        </is>
      </c>
      <c r="D1180">
        <f>HYPERLINK("https://www.youtube.com/watch?v=UdQIL3YdyJM&amp;t=717s", "Go to time")</f>
        <v/>
      </c>
    </row>
    <row r="1181">
      <c r="A1181">
        <f>HYPERLINK("https://www.youtube.com/watch?v=UdQIL3YdyJM", "Video")</f>
        <v/>
      </c>
      <c r="B1181" t="inlineStr">
        <is>
          <t>34:06</t>
        </is>
      </c>
      <c r="C1181" t="inlineStr">
        <is>
          <t>high levels of accountability to drive</t>
        </is>
      </c>
      <c r="D1181">
        <f>HYPERLINK("https://www.youtube.com/watch?v=UdQIL3YdyJM&amp;t=2046s", "Go to time")</f>
        <v/>
      </c>
    </row>
    <row r="1182">
      <c r="A1182">
        <f>HYPERLINK("https://www.youtube.com/watch?v=BLsKMTZEWn4", "Video")</f>
        <v/>
      </c>
      <c r="B1182" t="inlineStr">
        <is>
          <t>15:19</t>
        </is>
      </c>
      <c r="C1182" t="inlineStr">
        <is>
          <t>Then you actually
care about drivers</t>
        </is>
      </c>
      <c r="D1182">
        <f>HYPERLINK("https://www.youtube.com/watch?v=BLsKMTZEWn4&amp;t=919s", "Go to time")</f>
        <v/>
      </c>
    </row>
    <row r="1183">
      <c r="A1183">
        <f>HYPERLINK("https://www.youtube.com/watch?v=BLsKMTZEWn4", "Video")</f>
        <v/>
      </c>
      <c r="B1183" t="inlineStr">
        <is>
          <t>19:08</t>
        </is>
      </c>
      <c r="C1183" t="inlineStr">
        <is>
          <t>If your agenda is
going to be driven</t>
        </is>
      </c>
      <c r="D1183">
        <f>HYPERLINK("https://www.youtube.com/watch?v=BLsKMTZEWn4&amp;t=1148s", "Go to time")</f>
        <v/>
      </c>
    </row>
    <row r="1184">
      <c r="A1184">
        <f>HYPERLINK("https://www.youtube.com/watch?v=BLsKMTZEWn4", "Video")</f>
        <v/>
      </c>
      <c r="B1184" t="inlineStr">
        <is>
          <t>20:43</t>
        </is>
      </c>
      <c r="C1184" t="inlineStr">
        <is>
          <t>that to drive a purpose-driven
organization, to build</t>
        </is>
      </c>
      <c r="D1184">
        <f>HYPERLINK("https://www.youtube.com/watch?v=BLsKMTZEWn4&amp;t=1243s", "Go to time")</f>
        <v/>
      </c>
    </row>
    <row r="1185">
      <c r="A1185">
        <f>HYPERLINK("https://www.youtube.com/watch?v=BLsKMTZEWn4", "Video")</f>
        <v/>
      </c>
      <c r="B1185" t="inlineStr">
        <is>
          <t>20:47</t>
        </is>
      </c>
      <c r="C1185" t="inlineStr">
        <is>
          <t>and drive forward an
organization that is filled</t>
        </is>
      </c>
      <c r="D1185">
        <f>HYPERLINK("https://www.youtube.com/watch?v=BLsKMTZEWn4&amp;t=1247s", "Go to time")</f>
        <v/>
      </c>
    </row>
    <row r="1186">
      <c r="A1186">
        <f>HYPERLINK("https://www.youtube.com/watch?v=BLsKMTZEWn4", "Video")</f>
        <v/>
      </c>
      <c r="B1186" t="inlineStr">
        <is>
          <t>22:09</t>
        </is>
      </c>
      <c r="C1186" t="inlineStr">
        <is>
          <t>In general, in companies that
you have purpose driven leaders</t>
        </is>
      </c>
      <c r="D1186">
        <f>HYPERLINK("https://www.youtube.com/watch?v=BLsKMTZEWn4&amp;t=1329s", "Go to time")</f>
        <v/>
      </c>
    </row>
    <row r="1187">
      <c r="A1187">
        <f>HYPERLINK("https://www.youtube.com/watch?v=BLsKMTZEWn4", "Video")</f>
        <v/>
      </c>
      <c r="B1187" t="inlineStr">
        <is>
          <t>24:52</t>
        </is>
      </c>
      <c r="C1187" t="inlineStr">
        <is>
          <t>So you have to drive a
competitive organization</t>
        </is>
      </c>
      <c r="D1187">
        <f>HYPERLINK("https://www.youtube.com/watch?v=BLsKMTZEWn4&amp;t=1492s", "Go to time")</f>
        <v/>
      </c>
    </row>
    <row r="1188">
      <c r="A1188">
        <f>HYPERLINK("https://www.youtube.com/watch?v=BLsKMTZEWn4", "Video")</f>
        <v/>
      </c>
      <c r="B1188" t="inlineStr">
        <is>
          <t>25:38</t>
        </is>
      </c>
      <c r="C1188" t="inlineStr">
        <is>
          <t>And one of the biggest
drivers of that change</t>
        </is>
      </c>
      <c r="D1188">
        <f>HYPERLINK("https://www.youtube.com/watch?v=BLsKMTZEWn4&amp;t=1538s", "Go to time")</f>
        <v/>
      </c>
    </row>
    <row r="1189">
      <c r="A1189">
        <f>HYPERLINK("https://www.youtube.com/watch?v=t9PRLpkCUSM", "Video")</f>
        <v/>
      </c>
      <c r="B1189" t="inlineStr">
        <is>
          <t>2:14</t>
        </is>
      </c>
      <c r="C1189" t="inlineStr">
        <is>
          <t>going for a drive so I'll say every</t>
        </is>
      </c>
      <c r="D1189">
        <f>HYPERLINK("https://www.youtube.com/watch?v=t9PRLpkCUSM&amp;t=134s", "Go to time")</f>
        <v/>
      </c>
    </row>
    <row r="1190">
      <c r="A1190">
        <f>HYPERLINK("https://www.youtube.com/watch?v=t9PRLpkCUSM", "Video")</f>
        <v/>
      </c>
      <c r="B1190" t="inlineStr">
        <is>
          <t>6:19</t>
        </is>
      </c>
      <c r="C1190" t="inlineStr">
        <is>
          <t>drive to want to do something like if</t>
        </is>
      </c>
      <c r="D1190">
        <f>HYPERLINK("https://www.youtube.com/watch?v=t9PRLpkCUSM&amp;t=379s", "Go to time")</f>
        <v/>
      </c>
    </row>
    <row r="1191">
      <c r="A1191">
        <f>HYPERLINK("https://www.youtube.com/watch?v=t9PRLpkCUSM", "Video")</f>
        <v/>
      </c>
      <c r="B1191" t="inlineStr">
        <is>
          <t>7:30</t>
        </is>
      </c>
      <c r="C1191" t="inlineStr">
        <is>
          <t>what drives oh my God why was this hard</t>
        </is>
      </c>
      <c r="D1191">
        <f>HYPERLINK("https://www.youtube.com/watch?v=t9PRLpkCUSM&amp;t=450s", "Go to time")</f>
        <v/>
      </c>
    </row>
    <row r="1192">
      <c r="A1192">
        <f>HYPERLINK("https://www.youtube.com/watch?v=wzdG66VK75c", "Video")</f>
        <v/>
      </c>
      <c r="B1192" t="inlineStr">
        <is>
          <t>100:03</t>
        </is>
      </c>
      <c r="C1192" t="inlineStr">
        <is>
          <t>will be driverless the only people</t>
        </is>
      </c>
      <c r="D1192">
        <f>HYPERLINK("https://www.youtube.com/watch?v=wzdG66VK75c&amp;t=6003s", "Go to time")</f>
        <v/>
      </c>
    </row>
    <row r="1193">
      <c r="A1193">
        <f>HYPERLINK("https://www.youtube.com/watch?v=wzdG66VK75c", "Video")</f>
        <v/>
      </c>
      <c r="B1193" t="inlineStr">
        <is>
          <t>100:21</t>
        </is>
      </c>
      <c r="C1193" t="inlineStr">
        <is>
          <t>their drivers to engage autopilot with</t>
        </is>
      </c>
      <c r="D1193">
        <f>HYPERLINK("https://www.youtube.com/watch?v=wzdG66VK75c&amp;t=6021s", "Go to time")</f>
        <v/>
      </c>
    </row>
    <row r="1194">
      <c r="A1194">
        <f>HYPERLINK("https://www.youtube.com/watch?v=wzdG66VK75c", "Video")</f>
        <v/>
      </c>
      <c r="B1194" t="inlineStr">
        <is>
          <t>100:25</t>
        </is>
      </c>
      <c r="C1194" t="inlineStr">
        <is>
          <t>autonomously freeing up the driver</t>
        </is>
      </c>
      <c r="D1194">
        <f>HYPERLINK("https://www.youtube.com/watch?v=wzdG66VK75c&amp;t=6025s", "Go to time")</f>
        <v/>
      </c>
    </row>
    <row r="1195">
      <c r="A1195">
        <f>HYPERLINK("https://www.youtube.com/watch?v=wzdG66VK75c", "Video")</f>
        <v/>
      </c>
      <c r="B1195" t="inlineStr">
        <is>
          <t>105:03</t>
        </is>
      </c>
      <c r="C1195" t="inlineStr">
        <is>
          <t>Teslas allow their drivers to engage</t>
        </is>
      </c>
      <c r="D1195">
        <f>HYPERLINK("https://www.youtube.com/watch?v=wzdG66VK75c&amp;t=6303s", "Go to time")</f>
        <v/>
      </c>
    </row>
    <row r="1196">
      <c r="A1196">
        <f>HYPERLINK("https://www.youtube.com/watch?v=wzdG66VK75c", "Video")</f>
        <v/>
      </c>
      <c r="B1196" t="inlineStr">
        <is>
          <t>271:07</t>
        </is>
      </c>
      <c r="C1196" t="inlineStr">
        <is>
          <t>number or or your driver's license or</t>
        </is>
      </c>
      <c r="D1196">
        <f>HYPERLINK("https://www.youtube.com/watch?v=wzdG66VK75c&amp;t=16267s", "Go to time")</f>
        <v/>
      </c>
    </row>
    <row r="1197">
      <c r="A1197">
        <f>HYPERLINK("https://www.youtube.com/watch?v=rqmv0LCcPTs", "Video")</f>
        <v/>
      </c>
      <c r="B1197" t="inlineStr">
        <is>
          <t>19:57</t>
        </is>
      </c>
      <c r="C1197" t="inlineStr">
        <is>
          <t>main drivers is I think for for people</t>
        </is>
      </c>
      <c r="D1197">
        <f>HYPERLINK("https://www.youtube.com/watch?v=rqmv0LCcPTs&amp;t=1197s", "Go to time")</f>
        <v/>
      </c>
    </row>
    <row r="1198">
      <c r="A1198">
        <f>HYPERLINK("https://www.youtube.com/watch?v=k4715CJ0Ii8", "Video")</f>
        <v/>
      </c>
      <c r="B1198" t="inlineStr">
        <is>
          <t>0:09</t>
        </is>
      </c>
      <c r="C1198" t="inlineStr">
        <is>
          <t>like out there on a drive and I play my</t>
        </is>
      </c>
      <c r="D1198">
        <f>HYPERLINK("https://www.youtube.com/watch?v=k4715CJ0Ii8&amp;t=9s", "Go to time")</f>
        <v/>
      </c>
    </row>
    <row r="1199">
      <c r="A1199">
        <f>HYPERLINK("https://www.youtube.com/watch?v=k4715CJ0Ii8", "Video")</f>
        <v/>
      </c>
      <c r="B1199" t="inlineStr">
        <is>
          <t>13:28</t>
        </is>
      </c>
      <c r="C1199" t="inlineStr">
        <is>
          <t>when I drive when I drive you're</t>
        </is>
      </c>
      <c r="D1199">
        <f>HYPERLINK("https://www.youtube.com/watch?v=k4715CJ0Ii8&amp;t=808s", "Go to time")</f>
        <v/>
      </c>
    </row>
    <row r="1200">
      <c r="A1200">
        <f>HYPERLINK("https://www.youtube.com/watch?v=xQsDjcVWSZQ", "Video")</f>
        <v/>
      </c>
      <c r="B1200" t="inlineStr">
        <is>
          <t>13:21</t>
        </is>
      </c>
      <c r="C1200" t="inlineStr">
        <is>
          <t>car and I drive to work and uh yeah</t>
        </is>
      </c>
      <c r="D1200">
        <f>HYPERLINK("https://www.youtube.com/watch?v=xQsDjcVWSZQ&amp;t=801s", "Go to time")</f>
        <v/>
      </c>
    </row>
    <row r="1201">
      <c r="A1201">
        <f>HYPERLINK("https://www.youtube.com/watch?v=q7xCHfDRdug", "Video")</f>
        <v/>
      </c>
      <c r="B1201" t="inlineStr">
        <is>
          <t>74:12</t>
        </is>
      </c>
      <c r="C1201" t="inlineStr">
        <is>
          <t>how to drive a car and how easy it is</t>
        </is>
      </c>
      <c r="D1201">
        <f>HYPERLINK("https://www.youtube.com/watch?v=q7xCHfDRdug&amp;t=4452s", "Go to time")</f>
        <v/>
      </c>
    </row>
    <row r="1202">
      <c r="A1202">
        <f>HYPERLINK("https://www.youtube.com/watch?v=q7xCHfDRdug", "Video")</f>
        <v/>
      </c>
      <c r="B1202" t="inlineStr">
        <is>
          <t>74:18</t>
        </is>
      </c>
      <c r="C1202" t="inlineStr">
        <is>
          <t>you were first learning how to drive</t>
        </is>
      </c>
      <c r="D1202">
        <f>HYPERLINK("https://www.youtube.com/watch?v=q7xCHfDRdug&amp;t=4458s", "Go to time")</f>
        <v/>
      </c>
    </row>
    <row r="1203">
      <c r="A1203">
        <f>HYPERLINK("https://www.youtube.com/watch?v=q7xCHfDRdug", "Video")</f>
        <v/>
      </c>
      <c r="B1203" t="inlineStr">
        <is>
          <t>86:58</t>
        </is>
      </c>
      <c r="C1203" t="inlineStr">
        <is>
          <t>you don't go and drive a hundred miles</t>
        </is>
      </c>
      <c r="D1203">
        <f>HYPERLINK("https://www.youtube.com/watch?v=q7xCHfDRdug&amp;t=5218s", "Go to time")</f>
        <v/>
      </c>
    </row>
    <row r="1204">
      <c r="A1204">
        <f>HYPERLINK("https://www.youtube.com/watch?v=q7xCHfDRdug", "Video")</f>
        <v/>
      </c>
      <c r="B1204" t="inlineStr">
        <is>
          <t>120:15</t>
        </is>
      </c>
      <c r="C1204" t="inlineStr">
        <is>
          <t>to drive and talk on the cell phone</t>
        </is>
      </c>
      <c r="D1204">
        <f>HYPERLINK("https://www.youtube.com/watch?v=q7xCHfDRdug&amp;t=7215s", "Go to time")</f>
        <v/>
      </c>
    </row>
    <row r="1205">
      <c r="A1205">
        <f>HYPERLINK("https://www.youtube.com/watch?v=5HEmQahtJyY", "Video")</f>
        <v/>
      </c>
      <c r="B1205" t="inlineStr">
        <is>
          <t>16:38</t>
        </is>
      </c>
      <c r="C1205" t="inlineStr">
        <is>
          <t>imagine learning how to drive a car by</t>
        </is>
      </c>
      <c r="D1205">
        <f>HYPERLINK("https://www.youtube.com/watch?v=5HEmQahtJyY&amp;t=998s", "Go to time")</f>
        <v/>
      </c>
    </row>
    <row r="1206">
      <c r="A1206">
        <f>HYPERLINK("https://www.youtube.com/watch?v=5hAEajljN24", "Video")</f>
        <v/>
      </c>
      <c r="B1206" t="inlineStr">
        <is>
          <t>6:53</t>
        </is>
      </c>
      <c r="C1206" t="inlineStr">
        <is>
          <t>main road and tell you to drive at 100</t>
        </is>
      </c>
      <c r="D1206">
        <f>HYPERLINK("https://www.youtube.com/watch?v=5hAEajljN24&amp;t=413s", "Go to time")</f>
        <v/>
      </c>
    </row>
    <row r="1207">
      <c r="A1207">
        <f>HYPERLINK("https://www.youtube.com/watch?v=OtmUQwPVLko", "Video")</f>
        <v/>
      </c>
      <c r="B1207" t="inlineStr">
        <is>
          <t>18:17</t>
        </is>
      </c>
      <c r="C1207" t="inlineStr">
        <is>
          <t>learning how to drive a car on day one</t>
        </is>
      </c>
      <c r="D1207">
        <f>HYPERLINK("https://www.youtube.com/watch?v=OtmUQwPVLko&amp;t=1097s", "Go to time")</f>
        <v/>
      </c>
    </row>
    <row r="1208">
      <c r="A1208">
        <f>HYPERLINK("https://www.youtube.com/watch?v=OtmUQwPVLko", "Video")</f>
        <v/>
      </c>
      <c r="B1208" t="inlineStr">
        <is>
          <t>18:22</t>
        </is>
      </c>
      <c r="C1208" t="inlineStr">
        <is>
          <t>away to the motorway and say drive at</t>
        </is>
      </c>
      <c r="D1208">
        <f>HYPERLINK("https://www.youtube.com/watch?v=OtmUQwPVLko&amp;t=1102s", "Go to time")</f>
        <v/>
      </c>
    </row>
    <row r="1209">
      <c r="A1209">
        <f>HYPERLINK("https://www.youtube.com/watch?v=qHH7rfC_f5k", "Video")</f>
        <v/>
      </c>
      <c r="B1209" t="inlineStr">
        <is>
          <t>14:24</t>
        </is>
      </c>
      <c r="C1209" t="inlineStr">
        <is>
          <t>drink driver who slams into us and we</t>
        </is>
      </c>
      <c r="D1209">
        <f>HYPERLINK("https://www.youtube.com/watch?v=qHH7rfC_f5k&amp;t=864s", "Go to time")</f>
        <v/>
      </c>
    </row>
    <row r="1210">
      <c r="A1210">
        <f>HYPERLINK("https://www.youtube.com/watch?v=jWxeXGyP7-g", "Video")</f>
        <v/>
      </c>
      <c r="B1210" t="inlineStr">
        <is>
          <t>1:52</t>
        </is>
      </c>
      <c r="C1210" t="inlineStr">
        <is>
          <t>could you learn how to drive a car and</t>
        </is>
      </c>
      <c r="D1210">
        <f>HYPERLINK("https://www.youtube.com/watch?v=jWxeXGyP7-g&amp;t=112s", "Go to time")</f>
        <v/>
      </c>
    </row>
    <row r="1211">
      <c r="A1211">
        <f>HYPERLINK("https://www.youtube.com/watch?v=xGtKdsVxV8A", "Video")</f>
        <v/>
      </c>
      <c r="B1211" t="inlineStr">
        <is>
          <t>74:10</t>
        </is>
      </c>
      <c r="C1211" t="inlineStr">
        <is>
          <t>intelligence is being used to drive cars</t>
        </is>
      </c>
      <c r="D1211">
        <f>HYPERLINK("https://www.youtube.com/watch?v=xGtKdsVxV8A&amp;t=4450s", "Go to time")</f>
        <v/>
      </c>
    </row>
    <row r="1212">
      <c r="A1212">
        <f>HYPERLINK("https://www.youtube.com/watch?v=xGtKdsVxV8A", "Video")</f>
        <v/>
      </c>
      <c r="B1212" t="inlineStr">
        <is>
          <t>77:07</t>
        </is>
      </c>
      <c r="C1212" t="inlineStr">
        <is>
          <t>intelligence to drive vehicles is</t>
        </is>
      </c>
      <c r="D1212">
        <f>HYPERLINK("https://www.youtube.com/watch?v=xGtKdsVxV8A&amp;t=4627s", "Go to time")</f>
        <v/>
      </c>
    </row>
    <row r="1213">
      <c r="A1213">
        <f>HYPERLINK("https://www.youtube.com/watch?v=xGtKdsVxV8A", "Video")</f>
        <v/>
      </c>
      <c r="B1213" t="inlineStr">
        <is>
          <t>77:50</t>
        </is>
      </c>
      <c r="C1213" t="inlineStr">
        <is>
          <t>driven by robotics so uh</t>
        </is>
      </c>
      <c r="D1213">
        <f>HYPERLINK("https://www.youtube.com/watch?v=xGtKdsVxV8A&amp;t=4670s", "Go to time")</f>
        <v/>
      </c>
    </row>
    <row r="1214">
      <c r="A1214">
        <f>HYPERLINK("https://www.youtube.com/watch?v=xGtKdsVxV8A", "Video")</f>
        <v/>
      </c>
      <c r="B1214" t="inlineStr">
        <is>
          <t>78:16</t>
        </is>
      </c>
      <c r="C1214" t="inlineStr">
        <is>
          <t>exactly the same cars are driven with</t>
        </is>
      </c>
      <c r="D1214">
        <f>HYPERLINK("https://www.youtube.com/watch?v=xGtKdsVxV8A&amp;t=4696s", "Go to time")</f>
        <v/>
      </c>
    </row>
    <row r="1215">
      <c r="A1215">
        <f>HYPERLINK("https://www.youtube.com/watch?v=xGtKdsVxV8A", "Video")</f>
        <v/>
      </c>
      <c r="B1215" t="inlineStr">
        <is>
          <t>80:38</t>
        </is>
      </c>
      <c r="C1215" t="inlineStr">
        <is>
          <t>driven my artificial intelligence so</t>
        </is>
      </c>
      <c r="D1215">
        <f>HYPERLINK("https://www.youtube.com/watch?v=xGtKdsVxV8A&amp;t=4838s", "Go to time")</f>
        <v/>
      </c>
    </row>
    <row r="1216">
      <c r="A1216">
        <f>HYPERLINK("https://www.youtube.com/watch?v=xGtKdsVxV8A", "Video")</f>
        <v/>
      </c>
      <c r="B1216" t="inlineStr">
        <is>
          <t>86:36</t>
        </is>
      </c>
      <c r="C1216" t="inlineStr">
        <is>
          <t>to fly a plane or how to drive a train</t>
        </is>
      </c>
      <c r="D1216">
        <f>HYPERLINK("https://www.youtube.com/watch?v=xGtKdsVxV8A&amp;t=5196s", "Go to time")</f>
        <v/>
      </c>
    </row>
    <row r="1217">
      <c r="A1217">
        <f>HYPERLINK("https://www.youtube.com/watch?v=xGtKdsVxV8A", "Video")</f>
        <v/>
      </c>
      <c r="B1217" t="inlineStr">
        <is>
          <t>111:57</t>
        </is>
      </c>
      <c r="C1217" t="inlineStr">
        <is>
          <t>wanting to learn how to drive a car in</t>
        </is>
      </c>
      <c r="D1217">
        <f>HYPERLINK("https://www.youtube.com/watch?v=xGtKdsVxV8A&amp;t=6717s", "Go to time")</f>
        <v/>
      </c>
    </row>
    <row r="1218">
      <c r="A1218">
        <f>HYPERLINK("https://www.youtube.com/watch?v=xGtKdsVxV8A", "Video")</f>
        <v/>
      </c>
      <c r="B1218" t="inlineStr">
        <is>
          <t>112:09</t>
        </is>
      </c>
      <c r="C1218" t="inlineStr">
        <is>
          <t>learn how to drive a car pretty quickly</t>
        </is>
      </c>
      <c r="D1218">
        <f>HYPERLINK("https://www.youtube.com/watch?v=xGtKdsVxV8A&amp;t=6729s", "Go to time")</f>
        <v/>
      </c>
    </row>
    <row r="1219">
      <c r="A1219">
        <f>HYPERLINK("https://www.youtube.com/watch?v=xGtKdsVxV8A", "Video")</f>
        <v/>
      </c>
      <c r="B1219" t="inlineStr">
        <is>
          <t>113:47</t>
        </is>
      </c>
      <c r="C1219" t="inlineStr">
        <is>
          <t>autopilot which drives the car itself</t>
        </is>
      </c>
      <c r="D1219">
        <f>HYPERLINK("https://www.youtube.com/watch?v=xGtKdsVxV8A&amp;t=6827s", "Go to time")</f>
        <v/>
      </c>
    </row>
    <row r="1220">
      <c r="A1220">
        <f>HYPERLINK("https://www.youtube.com/watch?v=xGtKdsVxV8A", "Video")</f>
        <v/>
      </c>
      <c r="B1220" t="inlineStr">
        <is>
          <t>113:57</t>
        </is>
      </c>
      <c r="C1220" t="inlineStr">
        <is>
          <t>drives itself all right so if if you</t>
        </is>
      </c>
      <c r="D1220">
        <f>HYPERLINK("https://www.youtube.com/watch?v=xGtKdsVxV8A&amp;t=6837s", "Go to time")</f>
        <v/>
      </c>
    </row>
    <row r="1221">
      <c r="A1221">
        <f>HYPERLINK("https://www.youtube.com/watch?v=xGtKdsVxV8A", "Video")</f>
        <v/>
      </c>
      <c r="B1221" t="inlineStr">
        <is>
          <t>127:41</t>
        </is>
      </c>
      <c r="C1221" t="inlineStr">
        <is>
          <t>technology of AI for self-drive again</t>
        </is>
      </c>
      <c r="D1221">
        <f>HYPERLINK("https://www.youtube.com/watch?v=xGtKdsVxV8A&amp;t=7661s", "Go to time")</f>
        <v/>
      </c>
    </row>
    <row r="1222">
      <c r="A1222">
        <f>HYPERLINK("https://www.youtube.com/watch?v=xGtKdsVxV8A", "Video")</f>
        <v/>
      </c>
      <c r="B1222" t="inlineStr">
        <is>
          <t>127:53</t>
        </is>
      </c>
      <c r="C1222" t="inlineStr">
        <is>
          <t>controlled and hence self-driven due to</t>
        </is>
      </c>
      <c r="D1222">
        <f>HYPERLINK("https://www.youtube.com/watch?v=xGtKdsVxV8A&amp;t=7673s", "Go to time")</f>
        <v/>
      </c>
    </row>
    <row r="1223">
      <c r="A1223">
        <f>HYPERLINK("https://www.youtube.com/watch?v=xGtKdsVxV8A", "Video")</f>
        <v/>
      </c>
      <c r="B1223" t="inlineStr">
        <is>
          <t>129:19</t>
        </is>
      </c>
      <c r="C1223" t="inlineStr">
        <is>
          <t>important thing driverless vehicle</t>
        </is>
      </c>
      <c r="D1223">
        <f>HYPERLINK("https://www.youtube.com/watch?v=xGtKdsVxV8A&amp;t=7759s", "Go to time")</f>
        <v/>
      </c>
    </row>
    <row r="1224">
      <c r="A1224">
        <f>HYPERLINK("https://www.youtube.com/watch?v=xGtKdsVxV8A", "Video")</f>
        <v/>
      </c>
      <c r="B1224" t="inlineStr">
        <is>
          <t>133:21</t>
        </is>
      </c>
      <c r="C1224" t="inlineStr">
        <is>
          <t>adjustment and self-driving by driver</t>
        </is>
      </c>
      <c r="D1224">
        <f>HYPERLINK("https://www.youtube.com/watch?v=xGtKdsVxV8A&amp;t=8001s", "Go to time")</f>
        <v/>
      </c>
    </row>
    <row r="1225">
      <c r="A1225">
        <f>HYPERLINK("https://www.youtube.com/watch?v=xGtKdsVxV8A", "Video")</f>
        <v/>
      </c>
      <c r="B1225" t="inlineStr">
        <is>
          <t>134:02</t>
        </is>
      </c>
      <c r="C1225" t="inlineStr">
        <is>
          <t>so just because Cristiano Ronaldo drives</t>
        </is>
      </c>
      <c r="D1225">
        <f>HYPERLINK("https://www.youtube.com/watch?v=xGtKdsVxV8A&amp;t=8042s", "Go to time")</f>
        <v/>
      </c>
    </row>
    <row r="1226">
      <c r="A1226">
        <f>HYPERLINK("https://www.youtube.com/watch?v=xGtKdsVxV8A", "Video")</f>
        <v/>
      </c>
      <c r="B1226" t="inlineStr">
        <is>
          <t>134:43</t>
        </is>
      </c>
      <c r="C1226" t="inlineStr">
        <is>
          <t>uncle drives a a car that doesn't mean</t>
        </is>
      </c>
      <c r="D1226">
        <f>HYPERLINK("https://www.youtube.com/watch?v=xGtKdsVxV8A&amp;t=8083s", "Go to time")</f>
        <v/>
      </c>
    </row>
    <row r="1227">
      <c r="A1227">
        <f>HYPERLINK("https://www.youtube.com/watch?v=xGtKdsVxV8A", "Video")</f>
        <v/>
      </c>
      <c r="B1227" t="inlineStr">
        <is>
          <t>138:18</t>
        </is>
      </c>
      <c r="C1227" t="inlineStr">
        <is>
          <t>driverless car and after testing it on</t>
        </is>
      </c>
      <c r="D1227">
        <f>HYPERLINK("https://www.youtube.com/watch?v=xGtKdsVxV8A&amp;t=8298s", "Go to time")</f>
        <v/>
      </c>
    </row>
    <row r="1228">
      <c r="A1228">
        <f>HYPERLINK("https://www.youtube.com/watch?v=xGtKdsVxV8A", "Video")</f>
        <v/>
      </c>
      <c r="B1228" t="inlineStr">
        <is>
          <t>138:25</t>
        </is>
      </c>
      <c r="C1228" t="inlineStr">
        <is>
          <t>the same number of miles driven by</t>
        </is>
      </c>
      <c r="D1228">
        <f>HYPERLINK("https://www.youtube.com/watch?v=xGtKdsVxV8A&amp;t=8305s", "Go to time")</f>
        <v/>
      </c>
    </row>
    <row r="1229">
      <c r="A1229">
        <f>HYPERLINK("https://www.youtube.com/watch?v=xGtKdsVxV8A", "Video")</f>
        <v/>
      </c>
      <c r="B1229" t="inlineStr">
        <is>
          <t>139:43</t>
        </is>
      </c>
      <c r="C1229" t="inlineStr">
        <is>
          <t>labor drivers account for a large</t>
        </is>
      </c>
      <c r="D1229">
        <f>HYPERLINK("https://www.youtube.com/watch?v=xGtKdsVxV8A&amp;t=8383s", "Go to time")</f>
        <v/>
      </c>
    </row>
    <row r="1230">
      <c r="A1230">
        <f>HYPERLINK("https://www.youtube.com/watch?v=xGtKdsVxV8A", "Video")</f>
        <v/>
      </c>
      <c r="B1230" t="inlineStr">
        <is>
          <t>140:04</t>
        </is>
      </c>
      <c r="C1230" t="inlineStr">
        <is>
          <t>driverless taxis that will not require a</t>
        </is>
      </c>
      <c r="D1230">
        <f>HYPERLINK("https://www.youtube.com/watch?v=xGtKdsVxV8A&amp;t=8404s", "Go to time")</f>
        <v/>
      </c>
    </row>
    <row r="1231">
      <c r="A1231">
        <f>HYPERLINK("https://www.youtube.com/watch?v=xGtKdsVxV8A", "Video")</f>
        <v/>
      </c>
      <c r="B1231" t="inlineStr">
        <is>
          <t>140:10</t>
        </is>
      </c>
      <c r="C1231" t="inlineStr">
        <is>
          <t>300,000 taxi and Uber drivers losing</t>
        </is>
      </c>
      <c r="D1231">
        <f>HYPERLINK("https://www.youtube.com/watch?v=xGtKdsVxV8A&amp;t=8410s", "Go to time")</f>
        <v/>
      </c>
    </row>
    <row r="1232">
      <c r="A1232">
        <f>HYPERLINK("https://www.youtube.com/watch?v=xGtKdsVxV8A", "Video")</f>
        <v/>
      </c>
      <c r="B1232" t="inlineStr">
        <is>
          <t>204:01</t>
        </is>
      </c>
      <c r="C1232" t="inlineStr">
        <is>
          <t>that you can drive yourself crazy with</t>
        </is>
      </c>
      <c r="D1232">
        <f>HYPERLINK("https://www.youtube.com/watch?v=xGtKdsVxV8A&amp;t=12241s", "Go to time")</f>
        <v/>
      </c>
    </row>
    <row r="1233">
      <c r="A1233">
        <f>HYPERLINK("https://www.youtube.com/watch?v=xGtKdsVxV8A", "Video")</f>
        <v/>
      </c>
      <c r="B1233" t="inlineStr">
        <is>
          <t>314:19</t>
        </is>
      </c>
      <c r="C1233" t="inlineStr">
        <is>
          <t>main road and tell you to drive at 100 m</t>
        </is>
      </c>
      <c r="D1233">
        <f>HYPERLINK("https://www.youtube.com/watch?v=xGtKdsVxV8A&amp;t=18859s", "Go to time")</f>
        <v/>
      </c>
    </row>
    <row r="1234">
      <c r="A1234">
        <f>HYPERLINK("https://www.youtube.com/watch?v=xGtKdsVxV8A", "Video")</f>
        <v/>
      </c>
      <c r="B1234" t="inlineStr">
        <is>
          <t>425:09</t>
        </is>
      </c>
      <c r="C1234" t="inlineStr">
        <is>
          <t>a bike or learn how to drive a car you</t>
        </is>
      </c>
      <c r="D1234">
        <f>HYPERLINK("https://www.youtube.com/watch?v=xGtKdsVxV8A&amp;t=25509s", "Go to time")</f>
        <v/>
      </c>
    </row>
    <row r="1235">
      <c r="A1235">
        <f>HYPERLINK("https://www.youtube.com/watch?v=xGtKdsVxV8A", "Video")</f>
        <v/>
      </c>
      <c r="B1235" t="inlineStr">
        <is>
          <t>425:12</t>
        </is>
      </c>
      <c r="C1235" t="inlineStr">
        <is>
          <t>didn't learn how to drive a car by going</t>
        </is>
      </c>
      <c r="D1235">
        <f>HYPERLINK("https://www.youtube.com/watch?v=xGtKdsVxV8A&amp;t=25512s", "Go to time")</f>
        <v/>
      </c>
    </row>
    <row r="1236">
      <c r="A1236">
        <f>HYPERLINK("https://www.youtube.com/watch?v=xGtKdsVxV8A", "Video")</f>
        <v/>
      </c>
      <c r="B1236" t="inlineStr">
        <is>
          <t>425:22</t>
        </is>
      </c>
      <c r="C1236" t="inlineStr">
        <is>
          <t>going to drive at 100 m hour no you</t>
        </is>
      </c>
      <c r="D1236">
        <f>HYPERLINK("https://www.youtube.com/watch?v=xGtKdsVxV8A&amp;t=25522s", "Go to time")</f>
        <v/>
      </c>
    </row>
    <row r="1237">
      <c r="A1237">
        <f>HYPERLINK("https://www.youtube.com/watch?v=xGtKdsVxV8A", "Video")</f>
        <v/>
      </c>
      <c r="B1237" t="inlineStr">
        <is>
          <t>427:14</t>
        </is>
      </c>
      <c r="C1237" t="inlineStr">
        <is>
          <t>you're learning how to drive a car what</t>
        </is>
      </c>
      <c r="D1237">
        <f>HYPERLINK("https://www.youtube.com/watch?v=xGtKdsVxV8A&amp;t=25634s", "Go to time")</f>
        <v/>
      </c>
    </row>
    <row r="1238">
      <c r="A1238">
        <f>HYPERLINK("https://www.youtube.com/watch?v=xGtKdsVxV8A", "Video")</f>
        <v/>
      </c>
      <c r="B1238" t="inlineStr">
        <is>
          <t>531:52</t>
        </is>
      </c>
      <c r="C1238" t="inlineStr">
        <is>
          <t>learning how to drive a car by just</t>
        </is>
      </c>
      <c r="D1238">
        <f>HYPERLINK("https://www.youtube.com/watch?v=xGtKdsVxV8A&amp;t=31912s", "Go to time")</f>
        <v/>
      </c>
    </row>
    <row r="1239">
      <c r="A1239">
        <f>HYPERLINK("https://www.youtube.com/watch?v=xGtKdsVxV8A", "Video")</f>
        <v/>
      </c>
      <c r="B1239" t="inlineStr">
        <is>
          <t>573:32</t>
        </is>
      </c>
      <c r="C1239" t="inlineStr">
        <is>
          <t>let him drive around and he was driving</t>
        </is>
      </c>
      <c r="D1239">
        <f>HYPERLINK("https://www.youtube.com/watch?v=xGtKdsVxV8A&amp;t=34412s", "Go to time")</f>
        <v/>
      </c>
    </row>
    <row r="1240">
      <c r="A1240">
        <f>HYPERLINK("https://www.youtube.com/watch?v=xGtKdsVxV8A", "Video")</f>
        <v/>
      </c>
      <c r="B1240" t="inlineStr">
        <is>
          <t>573:50</t>
        </is>
      </c>
      <c r="C1240" t="inlineStr">
        <is>
          <t>drive on the roads because so just</t>
        </is>
      </c>
      <c r="D1240">
        <f>HYPERLINK("https://www.youtube.com/watch?v=xGtKdsVxV8A&amp;t=34430s", "Go to time")</f>
        <v/>
      </c>
    </row>
    <row r="1241">
      <c r="A1241">
        <f>HYPERLINK("https://www.youtube.com/watch?v=-aBW-RHtcrE", "Video")</f>
        <v/>
      </c>
      <c r="B1241" t="inlineStr">
        <is>
          <t>10:16</t>
        </is>
      </c>
      <c r="C1241" t="inlineStr">
        <is>
          <t>you don't go and drive a hundred miles</t>
        </is>
      </c>
      <c r="D1241">
        <f>HYPERLINK("https://www.youtube.com/watch?v=-aBW-RHtcrE&amp;t=616s", "Go to time")</f>
        <v/>
      </c>
    </row>
    <row r="1242">
      <c r="A1242">
        <f>HYPERLINK("https://www.youtube.com/watch?v=-aBW-RHtcrE", "Video")</f>
        <v/>
      </c>
      <c r="B1242" t="inlineStr">
        <is>
          <t>15:47</t>
        </is>
      </c>
      <c r="C1242" t="inlineStr">
        <is>
          <t>as your bus driver will come into the</t>
        </is>
      </c>
      <c r="D1242">
        <f>HYPERLINK("https://www.youtube.com/watch?v=-aBW-RHtcrE&amp;t=947s", "Go to time")</f>
        <v/>
      </c>
    </row>
    <row r="1243">
      <c r="A1243">
        <f>HYPERLINK("https://www.youtube.com/watch?v=Sgwl1MLWSPw", "Video")</f>
        <v/>
      </c>
      <c r="B1243" t="inlineStr">
        <is>
          <t>9:15</t>
        </is>
      </c>
      <c r="C1243" t="inlineStr">
        <is>
          <t>of the main drivers I think for for</t>
        </is>
      </c>
      <c r="D1243">
        <f>HYPERLINK("https://www.youtube.com/watch?v=Sgwl1MLWSPw&amp;t=555s", "Go to time")</f>
        <v/>
      </c>
    </row>
    <row r="1244">
      <c r="A1244">
        <f>HYPERLINK("https://www.youtube.com/watch?v=95SZgg4U9fU", "Video")</f>
        <v/>
      </c>
      <c r="B1244" t="inlineStr">
        <is>
          <t>4:00</t>
        </is>
      </c>
      <c r="C1244" t="inlineStr">
        <is>
          <t>bus driver give a high-five to a random
person or give a compliment to someone</t>
        </is>
      </c>
      <c r="D1244">
        <f>HYPERLINK("https://www.youtube.com/watch?v=95SZgg4U9fU&amp;t=240s", "Go to time")</f>
        <v/>
      </c>
    </row>
    <row r="1245">
      <c r="A1245">
        <f>HYPERLINK("https://www.youtube.com/watch?v=U5MfuPpjefI", "Video")</f>
        <v/>
      </c>
      <c r="B1245" t="inlineStr">
        <is>
          <t>1:41</t>
        </is>
      </c>
      <c r="C1245" t="inlineStr">
        <is>
          <t>He pays for the entire ride and has the van
drive everyone for two hours to their intended</t>
        </is>
      </c>
      <c r="D1245">
        <f>HYPERLINK("https://www.youtube.com/watch?v=U5MfuPpjefI&amp;t=101s", "Go to time")</f>
        <v/>
      </c>
    </row>
    <row r="1246">
      <c r="A1246">
        <f>HYPERLINK("https://www.youtube.com/watch?v=60Ov9wl-h_U", "Video")</f>
        <v/>
      </c>
      <c r="B1246" t="inlineStr">
        <is>
          <t>4:42</t>
        </is>
      </c>
      <c r="C1246" t="inlineStr">
        <is>
          <t>and bus drivers. Little things like these
will bring a lot of joy into your life and</t>
        </is>
      </c>
      <c r="D1246">
        <f>HYPERLINK("https://www.youtube.com/watch?v=60Ov9wl-h_U&amp;t=282s", "Go to time")</f>
        <v/>
      </c>
    </row>
    <row r="1247">
      <c r="A1247">
        <f>HYPERLINK("https://www.youtube.com/watch?v=-BQ6WGvZRHc", "Video")</f>
        <v/>
      </c>
      <c r="B1247" t="inlineStr">
        <is>
          <t>0:47</t>
        </is>
      </c>
      <c r="C1247" t="inlineStr">
        <is>
          <t>Meister purpose-driven goals boost</t>
        </is>
      </c>
      <c r="D1247">
        <f>HYPERLINK("https://www.youtube.com/watch?v=-BQ6WGvZRHc&amp;t=47s", "Go to time")</f>
        <v/>
      </c>
    </row>
    <row r="1248">
      <c r="A1248">
        <f>HYPERLINK("https://www.youtube.com/watch?v=3wPIahk-1vE", "Video")</f>
        <v/>
      </c>
      <c r="B1248" t="inlineStr">
        <is>
          <t>4:48</t>
        </is>
      </c>
      <c r="C1248" t="inlineStr">
        <is>
          <t>Drive creativity the blank page is too</t>
        </is>
      </c>
      <c r="D1248">
        <f>HYPERLINK("https://www.youtube.com/watch?v=3wPIahk-1vE&amp;t=288s", "Go to time")</f>
        <v/>
      </c>
    </row>
    <row r="1249">
      <c r="A1249">
        <f>HYPERLINK("https://www.youtube.com/watch?v=oAU2-04RGtA", "Video")</f>
        <v/>
      </c>
      <c r="B1249" t="inlineStr">
        <is>
          <t>7:16</t>
        </is>
      </c>
      <c r="C1249" t="inlineStr">
        <is>
          <t>is most commonly seen in the us by politicians 
and it is used to drive in a point during a speech</t>
        </is>
      </c>
      <c r="D1249">
        <f>HYPERLINK("https://www.youtube.com/watch?v=oAU2-04RGtA&amp;t=436s", "Go to time")</f>
        <v/>
      </c>
    </row>
    <row r="1250">
      <c r="A1250">
        <f>HYPERLINK("https://www.youtube.com/watch?v=FwiBF9Yv4Yc", "Video")</f>
        <v/>
      </c>
      <c r="B1250" t="inlineStr">
        <is>
          <t>29:15</t>
        </is>
      </c>
      <c r="C1250" t="inlineStr">
        <is>
          <t>by politicians and it is used to drive</t>
        </is>
      </c>
      <c r="D1250">
        <f>HYPERLINK("https://www.youtube.com/watch?v=FwiBF9Yv4Yc&amp;t=1755s", "Go to time")</f>
        <v/>
      </c>
    </row>
    <row r="1251">
      <c r="A1251">
        <f>HYPERLINK("https://www.youtube.com/watch?v=fkGymhZ4uCo", "Video")</f>
        <v/>
      </c>
      <c r="B1251" t="inlineStr">
        <is>
          <t>2:07</t>
        </is>
      </c>
      <c r="C1251" t="inlineStr">
        <is>
          <t>actually motivate and drive you to do</t>
        </is>
      </c>
      <c r="D1251">
        <f>HYPERLINK("https://www.youtube.com/watch?v=fkGymhZ4uCo&amp;t=127s", "Go to time")</f>
        <v/>
      </c>
    </row>
    <row r="1252">
      <c r="A1252">
        <f>HYPERLINK("https://www.youtube.com/watch?v=fkGymhZ4uCo", "Video")</f>
        <v/>
      </c>
      <c r="B1252" t="inlineStr">
        <is>
          <t>2:33</t>
        </is>
      </c>
      <c r="C1252" t="inlineStr">
        <is>
          <t>our thoughts Drive our actions when we</t>
        </is>
      </c>
      <c r="D1252">
        <f>HYPERLINK("https://www.youtube.com/watch?v=fkGymhZ4uCo&amp;t=153s", "Go to time")</f>
        <v/>
      </c>
    </row>
    <row r="1253">
      <c r="A1253">
        <f>HYPERLINK("https://www.youtube.com/watch?v=NOudqGXKsG8", "Video")</f>
        <v/>
      </c>
      <c r="B1253" t="inlineStr">
        <is>
          <t>2:10</t>
        </is>
      </c>
      <c r="C1253" t="inlineStr">
        <is>
          <t>grateful for the smell
of wet leaves on my driveway I will</t>
        </is>
      </c>
      <c r="D1253">
        <f>HYPERLINK("https://www.youtube.com/watch?v=NOudqGXKsG8&amp;t=130s", "Go to time")</f>
        <v/>
      </c>
    </row>
    <row r="1254">
      <c r="A1254">
        <f>HYPERLINK("https://www.youtube.com/watch?v=FA10tGLTAUA", "Video")</f>
        <v/>
      </c>
      <c r="B1254" t="inlineStr">
        <is>
          <t>0:28</t>
        </is>
      </c>
      <c r="C1254" t="inlineStr">
        <is>
          <t>would have said to that driver but what</t>
        </is>
      </c>
      <c r="D1254">
        <f>HYPERLINK("https://www.youtube.com/watch?v=FA10tGLTAUA&amp;t=28s", "Go to time")</f>
        <v/>
      </c>
    </row>
    <row r="1255">
      <c r="A1255">
        <f>HYPERLINK("https://www.youtube.com/watch?v=FA10tGLTAUA", "Video")</f>
        <v/>
      </c>
      <c r="B1255" t="inlineStr">
        <is>
          <t>0:45</t>
        </is>
      </c>
      <c r="C1255" t="inlineStr">
        <is>
          <t>praying while she drives that she makes</t>
        </is>
      </c>
      <c r="D1255">
        <f>HYPERLINK("https://www.youtube.com/watch?v=FA10tGLTAUA&amp;t=45s", "Go to time")</f>
        <v/>
      </c>
    </row>
    <row r="1256">
      <c r="A1256">
        <f>HYPERLINK("https://www.youtube.com/watch?v=JvSDfHzrxhM", "Video")</f>
        <v/>
      </c>
      <c r="B1256" t="inlineStr">
        <is>
          <t>0:53</t>
        </is>
      </c>
      <c r="C1256" t="inlineStr">
        <is>
          <t>driven by ego or by what other people</t>
        </is>
      </c>
      <c r="D1256">
        <f>HYPERLINK("https://www.youtube.com/watch?v=JvSDfHzrxhM&amp;t=53s", "Go to time")</f>
        <v/>
      </c>
    </row>
    <row r="1257">
      <c r="A1257">
        <f>HYPERLINK("https://www.youtube.com/watch?v=JvSDfHzrxhM", "Video")</f>
        <v/>
      </c>
      <c r="B1257" t="inlineStr">
        <is>
          <t>0:56</t>
        </is>
      </c>
      <c r="C1257" t="inlineStr">
        <is>
          <t>think of us instead we are more driven</t>
        </is>
      </c>
      <c r="D1257">
        <f>HYPERLINK("https://www.youtube.com/watch?v=JvSDfHzrxhM&amp;t=56s", "Go to time")</f>
        <v/>
      </c>
    </row>
    <row r="1258">
      <c r="A1258">
        <f>HYPERLINK("https://www.youtube.com/watch?v=TmHxyb7O8cc", "Video")</f>
        <v/>
      </c>
      <c r="B1258" t="inlineStr">
        <is>
          <t>4:27</t>
        </is>
      </c>
      <c r="C1258" t="inlineStr">
        <is>
          <t>Maybe you don't have any success under your
belt, or any passions that drive you.</t>
        </is>
      </c>
      <c r="D1258">
        <f>HYPERLINK("https://www.youtube.com/watch?v=TmHxyb7O8cc&amp;t=267s", "Go to time")</f>
        <v/>
      </c>
    </row>
    <row r="1259">
      <c r="A1259">
        <f>HYPERLINK("https://www.youtube.com/watch?v=YRxKS_gKqAE", "Video")</f>
        <v/>
      </c>
      <c r="B1259" t="inlineStr">
        <is>
          <t>2:48</t>
        </is>
      </c>
      <c r="C1259" t="inlineStr">
        <is>
          <t>shows you how to jump into the driver's</t>
        </is>
      </c>
      <c r="D1259">
        <f>HYPERLINK("https://www.youtube.com/watch?v=YRxKS_gKqAE&amp;t=168s", "Go to time")</f>
        <v/>
      </c>
    </row>
    <row r="1260">
      <c r="A1260">
        <f>HYPERLINK("https://www.youtube.com/watch?v=G0CHBTPxRNE", "Video")</f>
        <v/>
      </c>
      <c r="B1260" t="inlineStr">
        <is>
          <t>3:13</t>
        </is>
      </c>
      <c r="C1260" t="inlineStr">
        <is>
          <t>clinginess or jealousy will often Drive</t>
        </is>
      </c>
      <c r="D1260">
        <f>HYPERLINK("https://www.youtube.com/watch?v=G0CHBTPxRNE&amp;t=193s", "Go to time")</f>
        <v/>
      </c>
    </row>
    <row r="1261">
      <c r="A1261">
        <f>HYPERLINK("https://www.youtube.com/watch?v=kaMwkBUP-tY", "Video")</f>
        <v/>
      </c>
      <c r="B1261" t="inlineStr">
        <is>
          <t>3:39</t>
        </is>
      </c>
      <c r="C1261" t="inlineStr">
        <is>
          <t>belt or any passions that drive you</t>
        </is>
      </c>
      <c r="D1261">
        <f>HYPERLINK("https://www.youtube.com/watch?v=kaMwkBUP-tY&amp;t=219s", "Go to time")</f>
        <v/>
      </c>
    </row>
    <row r="1262">
      <c r="A1262">
        <f>HYPERLINK("https://www.youtube.com/watch?v=Y88ci7DUByw", "Video")</f>
        <v/>
      </c>
      <c r="B1262" t="inlineStr">
        <is>
          <t>4:13</t>
        </is>
      </c>
      <c r="C1262" t="inlineStr">
        <is>
          <t>bus drivers then when you feel</t>
        </is>
      </c>
      <c r="D1262">
        <f>HYPERLINK("https://www.youtube.com/watch?v=Y88ci7DUByw&amp;t=253s", "Go to time")</f>
        <v/>
      </c>
    </row>
    <row r="1263">
      <c r="A1263">
        <f>HYPERLINK("https://www.youtube.com/watch?v=c0qqcfXb45g", "Video")</f>
        <v/>
      </c>
      <c r="B1263" t="inlineStr">
        <is>
          <t>13:15</t>
        </is>
      </c>
      <c r="C1263" t="inlineStr">
        <is>
          <t>at the same time this episode was
brought to you by pipedrive</t>
        </is>
      </c>
      <c r="D1263">
        <f>HYPERLINK("https://www.youtube.com/watch?v=c0qqcfXb45g&amp;t=795s", "Go to time")</f>
        <v/>
      </c>
    </row>
    <row r="1264">
      <c r="A1264">
        <f>HYPERLINK("https://www.youtube.com/watch?v=c0qqcfXb45g", "Video")</f>
        <v/>
      </c>
      <c r="B1264" t="inlineStr">
        <is>
          <t>13:26</t>
        </is>
      </c>
      <c r="C1264" t="inlineStr">
        <is>
          <t>then pipedrive is for you pipedrive
allows you to feed your leads into your</t>
        </is>
      </c>
      <c r="D1264">
        <f>HYPERLINK("https://www.youtube.com/watch?v=c0qqcfXb45g&amp;t=806s", "Go to time")</f>
        <v/>
      </c>
    </row>
    <row r="1265">
      <c r="A1265">
        <f>HYPERLINK("https://www.youtube.com/watch?v=c0qqcfXb45g", "Video")</f>
        <v/>
      </c>
      <c r="B1265" t="inlineStr">
        <is>
          <t>13:45</t>
        </is>
      </c>
      <c r="C1265" t="inlineStr">
        <is>
          <t>and stress
on top of that pipedrive can be accessed</t>
        </is>
      </c>
      <c r="D1265">
        <f>HYPERLINK("https://www.youtube.com/watch?v=c0qqcfXb45g&amp;t=825s", "Go to time")</f>
        <v/>
      </c>
    </row>
    <row r="1266">
      <c r="A1266">
        <f>HYPERLINK("https://www.youtube.com/watch?v=c0qqcfXb45g", "Video")</f>
        <v/>
      </c>
      <c r="B1266" t="inlineStr">
        <is>
          <t>14:02</t>
        </is>
      </c>
      <c r="C1266" t="inlineStr">
        <is>
          <t>give pipedrive a try click on the link
in the description box below to get</t>
        </is>
      </c>
      <c r="D1266">
        <f>HYPERLINK("https://www.youtube.com/watch?v=c0qqcfXb45g&amp;t=842s", "Go to time")</f>
        <v/>
      </c>
    </row>
    <row r="1267">
      <c r="A1267">
        <f>HYPERLINK("https://www.youtube.com/watch?v=f5QKbIaVxwc", "Video")</f>
        <v/>
      </c>
      <c r="B1267" t="inlineStr">
        <is>
          <t>1:38</t>
        </is>
      </c>
      <c r="C1267" t="inlineStr">
        <is>
          <t>book on motivation Drive author Daniel</t>
        </is>
      </c>
      <c r="D1267">
        <f>HYPERLINK("https://www.youtube.com/watch?v=f5QKbIaVxwc&amp;t=98s", "Go to time")</f>
        <v/>
      </c>
    </row>
    <row r="1268">
      <c r="A1268">
        <f>HYPERLINK("https://www.youtube.com/watch?v=f5QKbIaVxwc", "Video")</f>
        <v/>
      </c>
      <c r="B1268" t="inlineStr">
        <is>
          <t>1:58</t>
        </is>
      </c>
      <c r="C1268" t="inlineStr">
        <is>
          <t>unlock the drive we need to do big</t>
        </is>
      </c>
      <c r="D1268">
        <f>HYPERLINK("https://www.youtube.com/watch?v=f5QKbIaVxwc&amp;t=118s", "Go to time")</f>
        <v/>
      </c>
    </row>
    <row r="1269">
      <c r="A1269">
        <f>HYPERLINK("https://www.youtube.com/watch?v=f5QKbIaVxwc", "Video")</f>
        <v/>
      </c>
      <c r="B1269" t="inlineStr">
        <is>
          <t>5:01</t>
        </is>
      </c>
      <c r="C1269" t="inlineStr">
        <is>
          <t>they did and you're no different Drive</t>
        </is>
      </c>
      <c r="D1269">
        <f>HYPERLINK("https://www.youtube.com/watch?v=f5QKbIaVxwc&amp;t=301s", "Go to time")</f>
        <v/>
      </c>
    </row>
    <row r="1270">
      <c r="A1270">
        <f>HYPERLINK("https://www.youtube.com/watch?v=f5QKbIaVxwc", "Video")</f>
        <v/>
      </c>
      <c r="B1270" t="inlineStr">
        <is>
          <t>5:55</t>
        </is>
      </c>
      <c r="C1270" t="inlineStr">
        <is>
          <t>work we're naturally self-driven</t>
        </is>
      </c>
      <c r="D1270">
        <f>HYPERLINK("https://www.youtube.com/watch?v=f5QKbIaVxwc&amp;t=355s", "Go to time")</f>
        <v/>
      </c>
    </row>
    <row r="1271">
      <c r="A1271">
        <f>HYPERLINK("https://www.youtube.com/watch?v=f5QKbIaVxwc", "Video")</f>
        <v/>
      </c>
      <c r="B1271" t="inlineStr">
        <is>
          <t>7:16</t>
        </is>
      </c>
      <c r="C1271" t="inlineStr">
        <is>
          <t>leg in the stool is purpose Drive</t>
        </is>
      </c>
      <c r="D1271">
        <f>HYPERLINK("https://www.youtube.com/watch?v=f5QKbIaVxwc&amp;t=436s", "Go to time")</f>
        <v/>
      </c>
    </row>
    <row r="1272">
      <c r="A1272">
        <f>HYPERLINK("https://www.youtube.com/watch?v=f5QKbIaVxwc", "Video")</f>
        <v/>
      </c>
      <c r="B1272" t="inlineStr">
        <is>
          <t>7:43</t>
        </is>
      </c>
      <c r="C1272" t="inlineStr">
        <is>
          <t>drive to make the world a better place</t>
        </is>
      </c>
      <c r="D1272">
        <f>HYPERLINK("https://www.youtube.com/watch?v=f5QKbIaVxwc&amp;t=463s", "Go to time")</f>
        <v/>
      </c>
    </row>
    <row r="1273">
      <c r="A1273">
        <f>HYPERLINK("https://www.youtube.com/watch?v=f5QKbIaVxwc", "Video")</f>
        <v/>
      </c>
      <c r="B1273" t="inlineStr">
        <is>
          <t>8:33</t>
        </is>
      </c>
      <c r="C1273" t="inlineStr">
        <is>
          <t>Daniel Pink's drive you can tap into the</t>
        </is>
      </c>
      <c r="D1273">
        <f>HYPERLINK("https://www.youtube.com/watch?v=f5QKbIaVxwc&amp;t=513s", "Go to time")</f>
        <v/>
      </c>
    </row>
    <row r="1274">
      <c r="A1274">
        <f>HYPERLINK("https://www.youtube.com/watch?v=1F4SLF97yuk", "Video")</f>
        <v/>
      </c>
      <c r="B1274" t="inlineStr">
        <is>
          <t>1:41</t>
        </is>
      </c>
      <c r="C1274" t="inlineStr">
        <is>
          <t>how to increase motivation and drive</t>
        </is>
      </c>
      <c r="D1274">
        <f>HYPERLINK("https://www.youtube.com/watch?v=1F4SLF97yuk&amp;t=101s", "Go to time")</f>
        <v/>
      </c>
    </row>
    <row r="1275">
      <c r="A1275">
        <f>HYPERLINK("https://www.youtube.com/watch?v=0A2gix_qEC4", "Video")</f>
        <v/>
      </c>
      <c r="B1275" t="inlineStr">
        <is>
          <t>7:09</t>
        </is>
      </c>
      <c r="C1275" t="inlineStr">
        <is>
          <t>scorsese's film taxi driver so tatum</t>
        </is>
      </c>
      <c r="D1275">
        <f>HYPERLINK("https://www.youtube.com/watch?v=0A2gix_qEC4&amp;t=429s", "Go to time")</f>
        <v/>
      </c>
    </row>
    <row r="1276">
      <c r="A1276">
        <f>HYPERLINK("https://www.youtube.com/watch?v=SNeZPobD2wo", "Video")</f>
        <v/>
      </c>
      <c r="B1276" t="inlineStr">
        <is>
          <t>1:39</t>
        </is>
      </c>
      <c r="C1276" t="inlineStr">
        <is>
          <t>Drive what are you doing drive drive bro</t>
        </is>
      </c>
      <c r="D1276">
        <f>HYPERLINK("https://www.youtube.com/watch?v=SNeZPobD2wo&amp;t=99s", "Go to time")</f>
        <v/>
      </c>
    </row>
    <row r="1277">
      <c r="A1277">
        <f>HYPERLINK("https://www.youtube.com/watch?v=R21x_zTXmO8", "Video")</f>
        <v/>
      </c>
      <c r="B1277" t="inlineStr">
        <is>
          <t>1:12</t>
        </is>
      </c>
      <c r="C1277" t="inlineStr">
        <is>
          <t>drive and it's got a gun rack on it and</t>
        </is>
      </c>
      <c r="D1277">
        <f>HYPERLINK("https://www.youtube.com/watch?v=R21x_zTXmO8&amp;t=72s", "Go to time")</f>
        <v/>
      </c>
    </row>
    <row r="1278">
      <c r="A1278">
        <f>HYPERLINK("https://www.youtube.com/watch?v=KHRyqcPCOWc", "Video")</f>
        <v/>
      </c>
      <c r="B1278" t="inlineStr">
        <is>
          <t>0:03</t>
        </is>
      </c>
      <c r="C1278" t="inlineStr">
        <is>
          <t>driver's license</t>
        </is>
      </c>
      <c r="D1278">
        <f>HYPERLINK("https://www.youtube.com/watch?v=KHRyqcPCOWc&amp;t=3s", "Go to time")</f>
        <v/>
      </c>
    </row>
    <row r="1279">
      <c r="A1279">
        <f>HYPERLINK("https://www.youtube.com/watch?v=OKx2uVdN6TA", "Video")</f>
        <v/>
      </c>
      <c r="B1279" t="inlineStr">
        <is>
          <t>2:20</t>
        </is>
      </c>
      <c r="C1279" t="inlineStr">
        <is>
          <t>supernatural strength and drive all we</t>
        </is>
      </c>
      <c r="D1279">
        <f>HYPERLINK("https://www.youtube.com/watch?v=OKx2uVdN6TA&amp;t=140s", "Go to time")</f>
        <v/>
      </c>
    </row>
    <row r="1280">
      <c r="A1280">
        <f>HYPERLINK("https://www.youtube.com/watch?v=UKqg2gzzo-o", "Video")</f>
        <v/>
      </c>
      <c r="B1280" t="inlineStr">
        <is>
          <t>0:47</t>
        </is>
      </c>
      <c r="C1280" t="inlineStr">
        <is>
          <t>Drive</t>
        </is>
      </c>
      <c r="D1280">
        <f>HYPERLINK("https://www.youtube.com/watch?v=UKqg2gzzo-o&amp;t=47s", "Go to time")</f>
        <v/>
      </c>
    </row>
    <row r="1281">
      <c r="A1281">
        <f>HYPERLINK("https://www.youtube.com/watch?v=UKqg2gzzo-o", "Video")</f>
        <v/>
      </c>
      <c r="B1281" t="inlineStr">
        <is>
          <t>1:38</t>
        </is>
      </c>
      <c r="C1281" t="inlineStr">
        <is>
          <t>where's the drive</t>
        </is>
      </c>
      <c r="D1281">
        <f>HYPERLINK("https://www.youtube.com/watch?v=UKqg2gzzo-o&amp;t=98s", "Go to time")</f>
        <v/>
      </c>
    </row>
    <row r="1282">
      <c r="A1282">
        <f>HYPERLINK("https://www.youtube.com/watch?v=UKqg2gzzo-o", "Video")</f>
        <v/>
      </c>
      <c r="B1282" t="inlineStr">
        <is>
          <t>1:46</t>
        </is>
      </c>
      <c r="C1282" t="inlineStr">
        <is>
          <t>where's the drive</t>
        </is>
      </c>
      <c r="D1282">
        <f>HYPERLINK("https://www.youtube.com/watch?v=UKqg2gzzo-o&amp;t=106s", "Go to time")</f>
        <v/>
      </c>
    </row>
    <row r="1283">
      <c r="A1283">
        <f>HYPERLINK("https://www.youtube.com/watch?v=UKqg2gzzo-o", "Video")</f>
        <v/>
      </c>
      <c r="B1283" t="inlineStr">
        <is>
          <t>1:58</t>
        </is>
      </c>
      <c r="C1283" t="inlineStr">
        <is>
          <t>where's the drive</t>
        </is>
      </c>
      <c r="D1283">
        <f>HYPERLINK("https://www.youtube.com/watch?v=UKqg2gzzo-o&amp;t=118s", "Go to time")</f>
        <v/>
      </c>
    </row>
    <row r="1284">
      <c r="A1284">
        <f>HYPERLINK("https://www.youtube.com/watch?v=UKqg2gzzo-o", "Video")</f>
        <v/>
      </c>
      <c r="B1284" t="inlineStr">
        <is>
          <t>2:00</t>
        </is>
      </c>
      <c r="C1284" t="inlineStr">
        <is>
          <t>wait where's the drive</t>
        </is>
      </c>
      <c r="D1284">
        <f>HYPERLINK("https://www.youtube.com/watch?v=UKqg2gzzo-o&amp;t=120s", "Go to time")</f>
        <v/>
      </c>
    </row>
    <row r="1285">
      <c r="A1285">
        <f>HYPERLINK("https://www.youtube.com/watch?v=UKqg2gzzo-o", "Video")</f>
        <v/>
      </c>
      <c r="B1285" t="inlineStr">
        <is>
          <t>2:08</t>
        </is>
      </c>
      <c r="C1285" t="inlineStr">
        <is>
          <t>where's the drive</t>
        </is>
      </c>
      <c r="D1285">
        <f>HYPERLINK("https://www.youtube.com/watch?v=UKqg2gzzo-o&amp;t=128s", "Go to time")</f>
        <v/>
      </c>
    </row>
    <row r="1286">
      <c r="A1286">
        <f>HYPERLINK("https://www.youtube.com/watch?v=NzvxjpQGsxw", "Video")</f>
        <v/>
      </c>
      <c r="B1286" t="inlineStr">
        <is>
          <t>2:03</t>
        </is>
      </c>
      <c r="C1286" t="inlineStr">
        <is>
          <t>usually drive a Cadillac</t>
        </is>
      </c>
      <c r="D1286">
        <f>HYPERLINK("https://www.youtube.com/watch?v=NzvxjpQGsxw&amp;t=123s", "Go to time")</f>
        <v/>
      </c>
    </row>
    <row r="1287">
      <c r="A1287">
        <f>HYPERLINK("https://www.youtube.com/watch?v=vbmx4tcy-jc", "Video")</f>
        <v/>
      </c>
      <c r="B1287" t="inlineStr">
        <is>
          <t>0:01</t>
        </is>
      </c>
      <c r="C1287" t="inlineStr">
        <is>
          <t>Reynolds kind of drives me nuts but</t>
        </is>
      </c>
      <c r="D1287">
        <f>HYPERLINK("https://www.youtube.com/watch?v=vbmx4tcy-jc&amp;t=1s", "Go to time")</f>
        <v/>
      </c>
    </row>
    <row r="1288">
      <c r="A1288">
        <f>HYPERLINK("https://www.youtube.com/watch?v=vbmx4tcy-jc", "Video")</f>
        <v/>
      </c>
      <c r="B1288" t="inlineStr">
        <is>
          <t>8:16</t>
        </is>
      </c>
      <c r="C1288" t="inlineStr">
        <is>
          <t>Reynolds kind of drives me nuts but I</t>
        </is>
      </c>
      <c r="D1288">
        <f>HYPERLINK("https://www.youtube.com/watch?v=vbmx4tcy-jc&amp;t=496s", "Go to time")</f>
        <v/>
      </c>
    </row>
    <row r="1289">
      <c r="A1289">
        <f>HYPERLINK("https://www.youtube.com/watch?v=p4stxGV14_E", "Video")</f>
        <v/>
      </c>
      <c r="B1289" t="inlineStr">
        <is>
          <t>11:42</t>
        </is>
      </c>
      <c r="C1289" t="inlineStr">
        <is>
          <t>watchable it's very audience driven I</t>
        </is>
      </c>
      <c r="D1289">
        <f>HYPERLINK("https://www.youtube.com/watch?v=p4stxGV14_E&amp;t=702s", "Go to time")</f>
        <v/>
      </c>
    </row>
    <row r="1290">
      <c r="A1290">
        <f>HYPERLINK("https://www.youtube.com/watch?v=0W081BKGbBA", "Video")</f>
        <v/>
      </c>
      <c r="B1290" t="inlineStr">
        <is>
          <t>15:47</t>
        </is>
      </c>
      <c r="C1290" t="inlineStr">
        <is>
          <t>they drive each other crazy and yes in</t>
        </is>
      </c>
      <c r="D1290">
        <f>HYPERLINK("https://www.youtube.com/watch?v=0W081BKGbBA&amp;t=947s", "Go to time")</f>
        <v/>
      </c>
    </row>
    <row r="1291">
      <c r="A1291">
        <f>HYPERLINK("https://www.youtube.com/watch?v=0W081BKGbBA", "Video")</f>
        <v/>
      </c>
      <c r="B1291" t="inlineStr">
        <is>
          <t>15:52</t>
        </is>
      </c>
      <c r="C1291" t="inlineStr">
        <is>
          <t>it's so fun for Jimmy to be driven Crazy</t>
        </is>
      </c>
      <c r="D1291">
        <f>HYPERLINK("https://www.youtube.com/watch?v=0W081BKGbBA&amp;t=952s", "Go to time")</f>
        <v/>
      </c>
    </row>
    <row r="1292">
      <c r="A1292">
        <f>HYPERLINK("https://www.youtube.com/watch?v=HlJFGIxmQQE", "Video")</f>
        <v/>
      </c>
      <c r="B1292" t="inlineStr">
        <is>
          <t>0:23</t>
        </is>
      </c>
      <c r="C1292" t="inlineStr">
        <is>
          <t>because we have these drive-ins back</t>
        </is>
      </c>
      <c r="D1292">
        <f>HYPERLINK("https://www.youtube.com/watch?v=HlJFGIxmQQE&amp;t=23s", "Go to time")</f>
        <v/>
      </c>
    </row>
    <row r="1293">
      <c r="A1293">
        <f>HYPERLINK("https://www.youtube.com/watch?v=hxDmvkXK5Ns", "Video")</f>
        <v/>
      </c>
      <c r="B1293" t="inlineStr">
        <is>
          <t>0:03</t>
        </is>
      </c>
      <c r="C1293" t="inlineStr">
        <is>
          <t>no devil does not get to finish drivel</t>
        </is>
      </c>
      <c r="D1293">
        <f>HYPERLINK("https://www.youtube.com/watch?v=hxDmvkXK5Ns&amp;t=3s", "Go to time")</f>
        <v/>
      </c>
    </row>
    <row r="1294">
      <c r="A1294">
        <f>HYPERLINK("https://www.youtube.com/watch?v=uJIVuAlbxxQ", "Video")</f>
        <v/>
      </c>
      <c r="B1294" t="inlineStr">
        <is>
          <t>1:02</t>
        </is>
      </c>
      <c r="C1294" t="inlineStr">
        <is>
          <t>what the driver's distracted he's</t>
        </is>
      </c>
      <c r="D1294">
        <f>HYPERLINK("https://www.youtube.com/watch?v=uJIVuAlbxxQ&amp;t=62s", "Go to time")</f>
        <v/>
      </c>
    </row>
    <row r="1295">
      <c r="A1295">
        <f>HYPERLINK("https://www.youtube.com/watch?v=b5KFw1O7QOo", "Video")</f>
        <v/>
      </c>
      <c r="B1295" t="inlineStr">
        <is>
          <t>1:12</t>
        </is>
      </c>
      <c r="C1295" t="inlineStr">
        <is>
          <t>just talk about this let me drive you</t>
        </is>
      </c>
      <c r="D1295">
        <f>HYPERLINK("https://www.youtube.com/watch?v=b5KFw1O7QOo&amp;t=72s", "Go to time")</f>
        <v/>
      </c>
    </row>
    <row r="1296">
      <c r="A1296">
        <f>HYPERLINK("https://www.youtube.com/watch?v=b5KFw1O7QOo", "Video")</f>
        <v/>
      </c>
      <c r="B1296" t="inlineStr">
        <is>
          <t>1:18</t>
        </is>
      </c>
      <c r="C1296" t="inlineStr">
        <is>
          <t>actually i'd rather drive myself than</t>
        </is>
      </c>
      <c r="D1296">
        <f>HYPERLINK("https://www.youtube.com/watch?v=b5KFw1O7QOo&amp;t=78s", "Go to time")</f>
        <v/>
      </c>
    </row>
    <row r="1297">
      <c r="A1297">
        <f>HYPERLINK("https://www.youtube.com/watch?v=vcy2tPM3PP8", "Video")</f>
        <v/>
      </c>
      <c r="B1297" t="inlineStr">
        <is>
          <t>1:57</t>
        </is>
      </c>
      <c r="C1297" t="inlineStr">
        <is>
          <t>Express from the driver and the car that</t>
        </is>
      </c>
      <c r="D1297">
        <f>HYPERLINK("https://www.youtube.com/watch?v=vcy2tPM3PP8&amp;t=117s", "Go to time")</f>
        <v/>
      </c>
    </row>
    <row r="1298">
      <c r="A1298">
        <f>HYPERLINK("https://www.youtube.com/watch?v=0k_yjEiPLoc", "Video")</f>
        <v/>
      </c>
      <c r="B1298" t="inlineStr">
        <is>
          <t>0:50</t>
        </is>
      </c>
      <c r="C1298" t="inlineStr">
        <is>
          <t>guess the driver called couldn't figure</t>
        </is>
      </c>
      <c r="D1298">
        <f>HYPERLINK("https://www.youtube.com/watch?v=0k_yjEiPLoc&amp;t=50s", "Go to time")</f>
        <v/>
      </c>
    </row>
    <row r="1299">
      <c r="A1299">
        <f>HYPERLINK("https://www.youtube.com/watch?v=wYPEA5lmnDs", "Video")</f>
        <v/>
      </c>
      <c r="B1299" t="inlineStr">
        <is>
          <t>1:58</t>
        </is>
      </c>
      <c r="C1299" t="inlineStr">
        <is>
          <t>transmission drive</t>
        </is>
      </c>
      <c r="D1299">
        <f>HYPERLINK("https://www.youtube.com/watch?v=wYPEA5lmnDs&amp;t=118s", "Go to time")</f>
        <v/>
      </c>
    </row>
    <row r="1300">
      <c r="A1300">
        <f>HYPERLINK("https://www.youtube.com/watch?v=0I8VkF88iIQ", "Video")</f>
        <v/>
      </c>
      <c r="B1300" t="inlineStr">
        <is>
          <t>0:42</t>
        </is>
      </c>
      <c r="C1300" t="inlineStr">
        <is>
          <t>freaky decky drive by but let me explain</t>
        </is>
      </c>
      <c r="D1300">
        <f>HYPERLINK("https://www.youtube.com/watch?v=0I8VkF88iIQ&amp;t=42s", "Go to time")</f>
        <v/>
      </c>
    </row>
    <row r="1301">
      <c r="A1301">
        <f>HYPERLINK("https://www.youtube.com/watch?v=ZDNqHlCVB7I", "Video")</f>
        <v/>
      </c>
      <c r="B1301" t="inlineStr">
        <is>
          <t>2:23</t>
        </is>
      </c>
      <c r="C1301" t="inlineStr">
        <is>
          <t>i just drive the bus</t>
        </is>
      </c>
      <c r="D1301">
        <f>HYPERLINK("https://www.youtube.com/watch?v=ZDNqHlCVB7I&amp;t=143s", "Go to time")</f>
        <v/>
      </c>
    </row>
    <row r="1302">
      <c r="A1302">
        <f>HYPERLINK("https://www.youtube.com/watch?v=GgN1Pv0mi18", "Video")</f>
        <v/>
      </c>
      <c r="B1302" t="inlineStr">
        <is>
          <t>0:50</t>
        </is>
      </c>
      <c r="C1302" t="inlineStr">
        <is>
          <t>you don't punch the driver you don't</t>
        </is>
      </c>
      <c r="D1302">
        <f>HYPERLINK("https://www.youtube.com/watch?v=GgN1Pv0mi18&amp;t=50s", "Go to time")</f>
        <v/>
      </c>
    </row>
    <row r="1303">
      <c r="A1303">
        <f>HYPERLINK("https://www.youtube.com/watch?v=GgN1Pv0mi18", "Video")</f>
        <v/>
      </c>
      <c r="B1303" t="inlineStr">
        <is>
          <t>0:52</t>
        </is>
      </c>
      <c r="C1303" t="inlineStr">
        <is>
          <t>punch a driver man come on coke</t>
        </is>
      </c>
      <c r="D1303">
        <f>HYPERLINK("https://www.youtube.com/watch?v=GgN1Pv0mi18&amp;t=52s", "Go to time")</f>
        <v/>
      </c>
    </row>
    <row r="1304">
      <c r="A1304">
        <f>HYPERLINK("https://www.youtube.com/watch?v=AMT9Bl9z6eY", "Video")</f>
        <v/>
      </c>
      <c r="B1304" t="inlineStr">
        <is>
          <t>0:15</t>
        </is>
      </c>
      <c r="C1304" t="inlineStr">
        <is>
          <t>hard drive we found a lot of interesting</t>
        </is>
      </c>
      <c r="D1304">
        <f>HYPERLINK("https://www.youtube.com/watch?v=AMT9Bl9z6eY&amp;t=15s", "Go to time")</f>
        <v/>
      </c>
    </row>
    <row r="1305">
      <c r="A1305">
        <f>HYPERLINK("https://www.youtube.com/watch?v=O21J92JXh34", "Video")</f>
        <v/>
      </c>
      <c r="B1305" t="inlineStr">
        <is>
          <t>4:55</t>
        </is>
      </c>
      <c r="C1305" t="inlineStr">
        <is>
          <t>drive-through more often than not even</t>
        </is>
      </c>
      <c r="D1305">
        <f>HYPERLINK("https://www.youtube.com/watch?v=O21J92JXh34&amp;t=295s", "Go to time")</f>
        <v/>
      </c>
    </row>
    <row r="1306">
      <c r="A1306">
        <f>HYPERLINK("https://www.youtube.com/watch?v=O21J92JXh34", "Video")</f>
        <v/>
      </c>
      <c r="B1306" t="inlineStr">
        <is>
          <t>5:58</t>
        </is>
      </c>
      <c r="C1306" t="inlineStr">
        <is>
          <t>to bruce wayne during a test drive it</t>
        </is>
      </c>
      <c r="D1306">
        <f>HYPERLINK("https://www.youtube.com/watch?v=O21J92JXh34&amp;t=358s", "Go to time")</f>
        <v/>
      </c>
    </row>
    <row r="1307">
      <c r="A1307">
        <f>HYPERLINK("https://www.youtube.com/watch?v=O21J92JXh34", "Video")</f>
        <v/>
      </c>
      <c r="B1307" t="inlineStr">
        <is>
          <t>11:24</t>
        </is>
      </c>
      <c r="C1307" t="inlineStr">
        <is>
          <t>or does he need to take another driver's</t>
        </is>
      </c>
      <c r="D1307">
        <f>HYPERLINK("https://www.youtube.com/watch?v=O21J92JXh34&amp;t=684s", "Go to time")</f>
        <v/>
      </c>
    </row>
    <row r="1308">
      <c r="A1308">
        <f>HYPERLINK("https://www.youtube.com/watch?v=BAxfiHsr258", "Video")</f>
        <v/>
      </c>
      <c r="B1308" t="inlineStr">
        <is>
          <t>0:03</t>
        </is>
      </c>
      <c r="C1308" t="inlineStr">
        <is>
          <t>Colonial driven past here so many</t>
        </is>
      </c>
      <c r="D1308">
        <f>HYPERLINK("https://www.youtube.com/watch?v=BAxfiHsr258&amp;t=3s", "Go to time")</f>
        <v/>
      </c>
    </row>
    <row r="1309">
      <c r="A1309">
        <f>HYPERLINK("https://www.youtube.com/watch?v=oSaF5pF9raE", "Video")</f>
        <v/>
      </c>
      <c r="B1309" t="inlineStr">
        <is>
          <t>0:07</t>
        </is>
      </c>
      <c r="C1309" t="inlineStr">
        <is>
          <t>in buckle up everybody should I drive</t>
        </is>
      </c>
      <c r="D1309">
        <f>HYPERLINK("https://www.youtube.com/watch?v=oSaF5pF9raE&amp;t=7s", "Go to time")</f>
        <v/>
      </c>
    </row>
    <row r="1310">
      <c r="A1310">
        <f>HYPERLINK("https://www.youtube.com/watch?v=ILt6yHRUGEY", "Video")</f>
        <v/>
      </c>
      <c r="B1310" t="inlineStr">
        <is>
          <t>1:10</t>
        </is>
      </c>
      <c r="C1310" t="inlineStr">
        <is>
          <t>and you thought I couldn't drive well we</t>
        </is>
      </c>
      <c r="D1310">
        <f>HYPERLINK("https://www.youtube.com/watch?v=ILt6yHRUGEY&amp;t=70s", "Go to time")</f>
        <v/>
      </c>
    </row>
    <row r="1311">
      <c r="A1311">
        <f>HYPERLINK("https://www.youtube.com/watch?v=JmesUUTpYhc", "Video")</f>
        <v/>
      </c>
      <c r="B1311" t="inlineStr">
        <is>
          <t>0:56</t>
        </is>
      </c>
      <c r="C1311" t="inlineStr">
        <is>
          <t>theories on warp drive allow fleets of</t>
        </is>
      </c>
      <c r="D1311">
        <f>HYPERLINK("https://www.youtube.com/watch?v=JmesUUTpYhc&amp;t=56s", "Go to time")</f>
        <v/>
      </c>
    </row>
    <row r="1312">
      <c r="A1312">
        <f>HYPERLINK("https://www.youtube.com/watch?v=lO0n26I-JVE", "Video")</f>
        <v/>
      </c>
      <c r="B1312" t="inlineStr">
        <is>
          <t>1:58</t>
        </is>
      </c>
      <c r="C1312" t="inlineStr">
        <is>
          <t>that drives me crazy or the white</t>
        </is>
      </c>
      <c r="D1312">
        <f>HYPERLINK("https://www.youtube.com/watch?v=lO0n26I-JVE&amp;t=118s", "Go to time")</f>
        <v/>
      </c>
    </row>
    <row r="1313">
      <c r="A1313">
        <f>HYPERLINK("https://www.youtube.com/watch?v=lO0n26I-JVE", "Video")</f>
        <v/>
      </c>
      <c r="B1313" t="inlineStr">
        <is>
          <t>2:00</t>
        </is>
      </c>
      <c r="C1313" t="inlineStr">
        <is>
          <t>that drives me crazy if I'm just</t>
        </is>
      </c>
      <c r="D1313">
        <f>HYPERLINK("https://www.youtube.com/watch?v=lO0n26I-JVE&amp;t=120s", "Go to time")</f>
        <v/>
      </c>
    </row>
    <row r="1314">
      <c r="A1314">
        <f>HYPERLINK("https://www.youtube.com/watch?v=gH1kstAfb5g", "Video")</f>
        <v/>
      </c>
      <c r="B1314" t="inlineStr">
        <is>
          <t>0:35</t>
        </is>
      </c>
      <c r="C1314" t="inlineStr">
        <is>
          <t>huh is that a snail your your driver is</t>
        </is>
      </c>
      <c r="D1314">
        <f>HYPERLINK("https://www.youtube.com/watch?v=gH1kstAfb5g&amp;t=35s", "Go to time")</f>
        <v/>
      </c>
    </row>
    <row r="1315">
      <c r="A1315">
        <f>HYPERLINK("https://www.youtube.com/watch?v=aOGi64SVALs", "Video")</f>
        <v/>
      </c>
      <c r="B1315" t="inlineStr">
        <is>
          <t>0:51</t>
        </is>
      </c>
      <c r="C1315" t="inlineStr">
        <is>
          <t>drive stick and it doesn't make sense</t>
        </is>
      </c>
      <c r="D1315">
        <f>HYPERLINK("https://www.youtube.com/watch?v=aOGi64SVALs&amp;t=51s", "Go to time")</f>
        <v/>
      </c>
    </row>
    <row r="1316">
      <c r="A1316">
        <f>HYPERLINK("https://www.youtube.com/watch?v=vwdLknlhe04", "Video")</f>
        <v/>
      </c>
      <c r="B1316" t="inlineStr">
        <is>
          <t>2:23</t>
        </is>
      </c>
      <c r="C1316" t="inlineStr">
        <is>
          <t>the drive-in oh he wasn't a boyfriend no</t>
        </is>
      </c>
      <c r="D1316">
        <f>HYPERLINK("https://www.youtube.com/watch?v=vwdLknlhe04&amp;t=143s", "Go to time")</f>
        <v/>
      </c>
    </row>
    <row r="1317">
      <c r="A1317">
        <f>HYPERLINK("https://www.youtube.com/watch?v=vwdLknlhe04", "Video")</f>
        <v/>
      </c>
      <c r="B1317" t="inlineStr">
        <is>
          <t>2:43</t>
        </is>
      </c>
      <c r="C1317" t="inlineStr">
        <is>
          <t>i killed a driver</t>
        </is>
      </c>
      <c r="D1317">
        <f>HYPERLINK("https://www.youtube.com/watch?v=vwdLknlhe04&amp;t=163s", "Go to time")</f>
        <v/>
      </c>
    </row>
    <row r="1318">
      <c r="A1318">
        <f>HYPERLINK("https://www.youtube.com/watch?v=m7XcgFqndmM", "Video")</f>
        <v/>
      </c>
      <c r="B1318" t="inlineStr">
        <is>
          <t>6:26</t>
        </is>
      </c>
      <c r="C1318" t="inlineStr">
        <is>
          <t>are you cut off my head and drive to</t>
        </is>
      </c>
      <c r="D1318">
        <f>HYPERLINK("https://www.youtube.com/watch?v=m7XcgFqndmM&amp;t=386s", "Go to time")</f>
        <v/>
      </c>
    </row>
    <row r="1319">
      <c r="A1319">
        <f>HYPERLINK("https://www.youtube.com/watch?v=TvqNXo1NIh8", "Video")</f>
        <v/>
      </c>
      <c r="B1319" t="inlineStr">
        <is>
          <t>0:37</t>
        </is>
      </c>
      <c r="C1319" t="inlineStr">
        <is>
          <t>can you please drive a little bit more</t>
        </is>
      </c>
      <c r="D1319">
        <f>HYPERLINK("https://www.youtube.com/watch?v=TvqNXo1NIh8&amp;t=37s", "Go to time")</f>
        <v/>
      </c>
    </row>
    <row r="1320">
      <c r="A1320">
        <f>HYPERLINK("https://www.youtube.com/watch?v=WImbC8hGs6M", "Video")</f>
        <v/>
      </c>
      <c r="B1320" t="inlineStr">
        <is>
          <t>40:53</t>
        </is>
      </c>
      <c r="C1320" t="inlineStr">
        <is>
          <t>drive-through in and out the other day</t>
        </is>
      </c>
      <c r="D1320">
        <f>HYPERLINK("https://www.youtube.com/watch?v=WImbC8hGs6M&amp;t=2453s", "Go to time")</f>
        <v/>
      </c>
    </row>
    <row r="1321">
      <c r="A1321">
        <f>HYPERLINK("https://www.youtube.com/watch?v=WImbC8hGs6M", "Video")</f>
        <v/>
      </c>
      <c r="B1321" t="inlineStr">
        <is>
          <t>41:18</t>
        </is>
      </c>
      <c r="C1321" t="inlineStr">
        <is>
          <t>the in and out drive through they did</t>
        </is>
      </c>
      <c r="D1321">
        <f>HYPERLINK("https://www.youtube.com/watch?v=WImbC8hGs6M&amp;t=2478s", "Go to time")</f>
        <v/>
      </c>
    </row>
    <row r="1322">
      <c r="A1322">
        <f>HYPERLINK("https://www.youtube.com/watch?v=4qvdH9SdG8k", "Video")</f>
        <v/>
      </c>
      <c r="B1322" t="inlineStr">
        <is>
          <t>0:56</t>
        </is>
      </c>
      <c r="C1322" t="inlineStr">
        <is>
          <t>I will find your earth box and drive</t>
        </is>
      </c>
      <c r="D1322">
        <f>HYPERLINK("https://www.youtube.com/watch?v=4qvdH9SdG8k&amp;t=56s", "Go to time")</f>
        <v/>
      </c>
    </row>
    <row r="1323">
      <c r="A1323">
        <f>HYPERLINK("https://www.youtube.com/watch?v=xpdiwHchwYQ", "Video")</f>
        <v/>
      </c>
      <c r="B1323" t="inlineStr">
        <is>
          <t>14:31</t>
        </is>
      </c>
      <c r="C1323" t="inlineStr">
        <is>
          <t>it a couple times have like a test drive</t>
        </is>
      </c>
      <c r="D1323">
        <f>HYPERLINK("https://www.youtube.com/watch?v=xpdiwHchwYQ&amp;t=871s", "Go to time")</f>
        <v/>
      </c>
    </row>
    <row r="1324">
      <c r="A1324">
        <f>HYPERLINK("https://www.youtube.com/watch?v=CFMqGjP0TZo", "Video")</f>
        <v/>
      </c>
      <c r="B1324" t="inlineStr">
        <is>
          <t>0:37</t>
        </is>
      </c>
      <c r="C1324" t="inlineStr">
        <is>
          <t>gonna drive her</t>
        </is>
      </c>
      <c r="D1324">
        <f>HYPERLINK("https://www.youtube.com/watch?v=CFMqGjP0TZo&amp;t=37s", "Go to time")</f>
        <v/>
      </c>
    </row>
    <row r="1325">
      <c r="A1325">
        <f>HYPERLINK("https://www.youtube.com/watch?v=OTCgs_kVjLw", "Video")</f>
        <v/>
      </c>
      <c r="B1325" t="inlineStr">
        <is>
          <t>4:20</t>
        </is>
      </c>
      <c r="C1325" t="inlineStr">
        <is>
          <t>a beautiful story driven by compelling</t>
        </is>
      </c>
      <c r="D1325">
        <f>HYPERLINK("https://www.youtube.com/watch?v=OTCgs_kVjLw&amp;t=260s", "Go to time")</f>
        <v/>
      </c>
    </row>
    <row r="1326">
      <c r="A1326">
        <f>HYPERLINK("https://www.youtube.com/watch?v=G4i2gzgCgtE", "Video")</f>
        <v/>
      </c>
      <c r="B1326" t="inlineStr">
        <is>
          <t>15:02</t>
        </is>
      </c>
      <c r="C1326" t="inlineStr">
        <is>
          <t>you know while he drives me places and</t>
        </is>
      </c>
      <c r="D1326">
        <f>HYPERLINK("https://www.youtube.com/watch?v=G4i2gzgCgtE&amp;t=902s", "Go to time")</f>
        <v/>
      </c>
    </row>
    <row r="1327">
      <c r="A1327">
        <f>HYPERLINK("https://www.youtube.com/watch?v=jkxhRtVyn7s", "Video")</f>
        <v/>
      </c>
      <c r="B1327" t="inlineStr">
        <is>
          <t>2:06</t>
        </is>
      </c>
      <c r="C1327" t="inlineStr">
        <is>
          <t>in the back maybe I could drive and you</t>
        </is>
      </c>
      <c r="D1327">
        <f>HYPERLINK("https://www.youtube.com/watch?v=jkxhRtVyn7s&amp;t=126s", "Go to time")</f>
        <v/>
      </c>
    </row>
    <row r="1328">
      <c r="A1328">
        <f>HYPERLINK("https://www.youtube.com/watch?v=bgon1Z4pzKw", "Video")</f>
        <v/>
      </c>
      <c r="B1328" t="inlineStr">
        <is>
          <t>2:13</t>
        </is>
      </c>
      <c r="C1328" t="inlineStr">
        <is>
          <t>Driver director scorsi and star dairo</t>
        </is>
      </c>
      <c r="D1328">
        <f>HYPERLINK("https://www.youtube.com/watch?v=bgon1Z4pzKw&amp;t=133s", "Go to time")</f>
        <v/>
      </c>
    </row>
    <row r="1329">
      <c r="A1329">
        <f>HYPERLINK("https://www.youtube.com/watch?v=bgon1Z4pzKw", "Video")</f>
        <v/>
      </c>
      <c r="B1329" t="inlineStr">
        <is>
          <t>2:32</t>
        </is>
      </c>
      <c r="C1329" t="inlineStr">
        <is>
          <t>cab driver late at night in New York</t>
        </is>
      </c>
      <c r="D1329">
        <f>HYPERLINK("https://www.youtube.com/watch?v=bgon1Z4pzKw&amp;t=152s", "Go to time")</f>
        <v/>
      </c>
    </row>
    <row r="1330">
      <c r="A1330">
        <f>HYPERLINK("https://www.youtube.com/watch?v=bgon1Z4pzKw", "Video")</f>
        <v/>
      </c>
      <c r="B1330" t="inlineStr">
        <is>
          <t>2:57</t>
        </is>
      </c>
      <c r="C1330" t="inlineStr">
        <is>
          <t>here Taxi Driver also featured a</t>
        </is>
      </c>
      <c r="D1330">
        <f>HYPERLINK("https://www.youtube.com/watch?v=bgon1Z4pzKw&amp;t=177s", "Go to time")</f>
        <v/>
      </c>
    </row>
    <row r="1331">
      <c r="A1331">
        <f>HYPERLINK("https://www.youtube.com/watch?v=bgon1Z4pzKw", "Video")</f>
        <v/>
      </c>
      <c r="B1331" t="inlineStr">
        <is>
          <t>4:04</t>
        </is>
      </c>
      <c r="C1331" t="inlineStr">
        <is>
          <t>drive us death do you want me to have a</t>
        </is>
      </c>
      <c r="D1331">
        <f>HYPERLINK("https://www.youtube.com/watch?v=bgon1Z4pzKw&amp;t=244s", "Go to time")</f>
        <v/>
      </c>
    </row>
    <row r="1332">
      <c r="A1332">
        <f>HYPERLINK("https://www.youtube.com/watch?v=bgon1Z4pzKw", "Video")</f>
        <v/>
      </c>
      <c r="B1332" t="inlineStr">
        <is>
          <t>7:23</t>
        </is>
      </c>
      <c r="C1332" t="inlineStr">
        <is>
          <t>was taxi driver number eight was Alice</t>
        </is>
      </c>
      <c r="D1332">
        <f>HYPERLINK("https://www.youtube.com/watch?v=bgon1Z4pzKw&amp;t=443s", "Go to time")</f>
        <v/>
      </c>
    </row>
    <row r="1333">
      <c r="A1333">
        <f>HYPERLINK("https://www.youtube.com/watch?v=sFLxbyPugtk", "Video")</f>
        <v/>
      </c>
      <c r="B1333" t="inlineStr">
        <is>
          <t>2:47</t>
        </is>
      </c>
      <c r="C1333" t="inlineStr">
        <is>
          <t>was it was a drive see it was a long</t>
        </is>
      </c>
      <c r="D1333">
        <f>HYPERLINK("https://www.youtube.com/watch?v=sFLxbyPugtk&amp;t=167s", "Go to time")</f>
        <v/>
      </c>
    </row>
    <row r="1334">
      <c r="A1334">
        <f>HYPERLINK("https://www.youtube.com/watch?v=sFLxbyPugtk", "Video")</f>
        <v/>
      </c>
      <c r="B1334" t="inlineStr">
        <is>
          <t>2:51</t>
        </is>
      </c>
      <c r="C1334" t="inlineStr">
        <is>
          <t>drive</t>
        </is>
      </c>
      <c r="D1334">
        <f>HYPERLINK("https://www.youtube.com/watch?v=sFLxbyPugtk&amp;t=171s", "Go to time")</f>
        <v/>
      </c>
    </row>
    <row r="1335">
      <c r="A1335">
        <f>HYPERLINK("https://www.youtube.com/watch?v=AcdZaXYh2f0", "Video")</f>
        <v/>
      </c>
      <c r="B1335" t="inlineStr">
        <is>
          <t>2:55</t>
        </is>
      </c>
      <c r="C1335" t="inlineStr">
        <is>
          <t>wait no I'm building a car that drives</t>
        </is>
      </c>
      <c r="D1335">
        <f>HYPERLINK("https://www.youtube.com/watch?v=AcdZaXYh2f0&amp;t=175s", "Go to time")</f>
        <v/>
      </c>
    </row>
    <row r="1336">
      <c r="A1336">
        <f>HYPERLINK("https://www.youtube.com/watch?v=AcdZaXYh2f0", "Video")</f>
        <v/>
      </c>
      <c r="B1336" t="inlineStr">
        <is>
          <t>3:05</t>
        </is>
      </c>
      <c r="C1336" t="inlineStr">
        <is>
          <t>let the car drive by itself</t>
        </is>
      </c>
      <c r="D1336">
        <f>HYPERLINK("https://www.youtube.com/watch?v=AcdZaXYh2f0&amp;t=185s", "Go to time")</f>
        <v/>
      </c>
    </row>
    <row r="1337">
      <c r="A1337">
        <f>HYPERLINK("https://www.youtube.com/watch?v=D4tblMEIAYc", "Video")</f>
        <v/>
      </c>
      <c r="B1337" t="inlineStr">
        <is>
          <t>1:42</t>
        </is>
      </c>
      <c r="C1337" t="inlineStr">
        <is>
          <t>hot and really driven thank you i could</t>
        </is>
      </c>
      <c r="D1337">
        <f>HYPERLINK("https://www.youtube.com/watch?v=D4tblMEIAYc&amp;t=102s", "Go to time")</f>
        <v/>
      </c>
    </row>
    <row r="1338">
      <c r="A1338">
        <f>HYPERLINK("https://www.youtube.com/watch?v=W4ojVifm2Xc", "Video")</f>
        <v/>
      </c>
      <c r="B1338" t="inlineStr">
        <is>
          <t>0:35</t>
        </is>
      </c>
      <c r="C1338" t="inlineStr">
        <is>
          <t>drive the food they wear the food that</t>
        </is>
      </c>
      <c r="D1338">
        <f>HYPERLINK("https://www.youtube.com/watch?v=W4ojVifm2Xc&amp;t=35s", "Go to time")</f>
        <v/>
      </c>
    </row>
    <row r="1339">
      <c r="A1339">
        <f>HYPERLINK("https://www.youtube.com/watch?v=4jN1nn8o-Ic", "Video")</f>
        <v/>
      </c>
      <c r="B1339" t="inlineStr">
        <is>
          <t>0:17</t>
        </is>
      </c>
      <c r="C1339" t="inlineStr">
        <is>
          <t>the driver must take care to cover his</t>
        </is>
      </c>
      <c r="D1339">
        <f>HYPERLINK("https://www.youtube.com/watch?v=4jN1nn8o-Ic&amp;t=17s", "Go to time")</f>
        <v/>
      </c>
    </row>
    <row r="1340">
      <c r="A1340">
        <f>HYPERLINK("https://www.youtube.com/watch?v=VTAUTX3vxL8", "Video")</f>
        <v/>
      </c>
      <c r="B1340" t="inlineStr">
        <is>
          <t>18:27</t>
        </is>
      </c>
      <c r="C1340" t="inlineStr">
        <is>
          <t>into your colored car and drive</t>
        </is>
      </c>
      <c r="D1340">
        <f>HYPERLINK("https://www.youtube.com/watch?v=VTAUTX3vxL8&amp;t=1107s", "Go to time")</f>
        <v/>
      </c>
    </row>
    <row r="1341">
      <c r="A1341">
        <f>HYPERLINK("https://www.youtube.com/watch?v=q1IeJxVBr8Q", "Video")</f>
        <v/>
      </c>
      <c r="B1341" t="inlineStr">
        <is>
          <t>2:46</t>
        </is>
      </c>
      <c r="C1341" t="inlineStr">
        <is>
          <t>only one could drive the home right</t>
        </is>
      </c>
      <c r="D1341">
        <f>HYPERLINK("https://www.youtube.com/watch?v=q1IeJxVBr8Q&amp;t=166s", "Go to time")</f>
        <v/>
      </c>
    </row>
    <row r="1342">
      <c r="A1342">
        <f>HYPERLINK("https://www.youtube.com/watch?v=XFEeQzCrUz8", "Video")</f>
        <v/>
      </c>
      <c r="B1342" t="inlineStr">
        <is>
          <t>1:10</t>
        </is>
      </c>
      <c r="C1342" t="inlineStr">
        <is>
          <t>last time you've driven a car</t>
        </is>
      </c>
      <c r="D1342">
        <f>HYPERLINK("https://www.youtube.com/watch?v=XFEeQzCrUz8&amp;t=70s", "Go to time")</f>
        <v/>
      </c>
    </row>
    <row r="1343">
      <c r="A1343">
        <f>HYPERLINK("https://www.youtube.com/watch?v=O_9UWQLfBUk", "Video")</f>
        <v/>
      </c>
      <c r="B1343" t="inlineStr">
        <is>
          <t>0:33</t>
        </is>
      </c>
      <c r="C1343" t="inlineStr">
        <is>
          <t>security number driver's license number</t>
        </is>
      </c>
      <c r="D1343">
        <f>HYPERLINK("https://www.youtube.com/watch?v=O_9UWQLfBUk&amp;t=33s", "Go to time")</f>
        <v/>
      </c>
    </row>
    <row r="1344">
      <c r="A1344">
        <f>HYPERLINK("https://www.youtube.com/watch?v=QsXTARPx0ho", "Video")</f>
        <v/>
      </c>
      <c r="B1344" t="inlineStr">
        <is>
          <t>1:47</t>
        </is>
      </c>
      <c r="C1344" t="inlineStr">
        <is>
          <t>did you ever drive them across a country</t>
        </is>
      </c>
      <c r="D1344">
        <f>HYPERLINK("https://www.youtube.com/watch?v=QsXTARPx0ho&amp;t=107s", "Go to time")</f>
        <v/>
      </c>
    </row>
    <row r="1345">
      <c r="A1345">
        <f>HYPERLINK("https://www.youtube.com/watch?v=a6QMSQ9NtGM", "Video")</f>
        <v/>
      </c>
      <c r="B1345" t="inlineStr">
        <is>
          <t>2:34</t>
        </is>
      </c>
      <c r="C1345" t="inlineStr">
        <is>
          <t>getaway driver who's your driver</t>
        </is>
      </c>
      <c r="D1345">
        <f>HYPERLINK("https://www.youtube.com/watch?v=a6QMSQ9NtGM&amp;t=154s", "Go to time")</f>
        <v/>
      </c>
    </row>
    <row r="1346">
      <c r="A1346">
        <f>HYPERLINK("https://www.youtube.com/watch?v=GC4efF5qrCc", "Video")</f>
        <v/>
      </c>
      <c r="B1346" t="inlineStr">
        <is>
          <t>1:33</t>
        </is>
      </c>
      <c r="C1346" t="inlineStr">
        <is>
          <t>I'm to drive you to Wichita to catch a</t>
        </is>
      </c>
      <c r="D1346">
        <f>HYPERLINK("https://www.youtube.com/watch?v=GC4efF5qrCc&amp;t=93s", "Go to time")</f>
        <v/>
      </c>
    </row>
    <row r="1347">
      <c r="A1347">
        <f>HYPERLINK("https://www.youtube.com/watch?v=wxDmIobUBSQ", "Video")</f>
        <v/>
      </c>
      <c r="B1347" t="inlineStr">
        <is>
          <t>1:34</t>
        </is>
      </c>
      <c r="C1347" t="inlineStr">
        <is>
          <t>now how you drive this</t>
        </is>
      </c>
      <c r="D1347">
        <f>HYPERLINK("https://www.youtube.com/watch?v=wxDmIobUBSQ&amp;t=94s", "Go to time")</f>
        <v/>
      </c>
    </row>
    <row r="1348">
      <c r="A1348">
        <f>HYPERLINK("https://www.youtube.com/watch?v=79qdAq5f7zU", "Video")</f>
        <v/>
      </c>
      <c r="B1348" t="inlineStr">
        <is>
          <t>2:00</t>
        </is>
      </c>
      <c r="C1348" t="inlineStr">
        <is>
          <t>t-1000 steals a semi-truck drives it off</t>
        </is>
      </c>
      <c r="D1348">
        <f>HYPERLINK("https://www.youtube.com/watch?v=79qdAq5f7zU&amp;t=120s", "Go to time")</f>
        <v/>
      </c>
    </row>
    <row r="1349">
      <c r="A1349">
        <f>HYPERLINK("https://www.youtube.com/watch?v=y2C7VNd8xn8", "Video")</f>
        <v/>
      </c>
      <c r="B1349" t="inlineStr">
        <is>
          <t>4:32</t>
        </is>
      </c>
      <c r="C1349" t="inlineStr">
        <is>
          <t>stunt Stunt Driver and she just got on</t>
        </is>
      </c>
      <c r="D1349">
        <f>HYPERLINK("https://www.youtube.com/watch?v=y2C7VNd8xn8&amp;t=272s", "Go to time")</f>
        <v/>
      </c>
    </row>
    <row r="1350">
      <c r="A1350">
        <f>HYPERLINK("https://www.youtube.com/watch?v=y2C7VNd8xn8", "Video")</f>
        <v/>
      </c>
      <c r="B1350" t="inlineStr">
        <is>
          <t>4:39</t>
        </is>
      </c>
      <c r="C1350" t="inlineStr">
        <is>
          <t>this will be such fun to drive that</t>
        </is>
      </c>
      <c r="D1350">
        <f>HYPERLINK("https://www.youtube.com/watch?v=y2C7VNd8xn8&amp;t=279s", "Go to time")</f>
        <v/>
      </c>
    </row>
    <row r="1351">
      <c r="A1351">
        <f>HYPERLINK("https://www.youtube.com/watch?v=y2C7VNd8xn8", "Video")</f>
        <v/>
      </c>
      <c r="B1351" t="inlineStr">
        <is>
          <t>10:54</t>
        </is>
      </c>
      <c r="C1351" t="inlineStr">
        <is>
          <t>that drive in the late Innings I I think</t>
        </is>
      </c>
      <c r="D1351">
        <f>HYPERLINK("https://www.youtube.com/watch?v=y2C7VNd8xn8&amp;t=654s", "Go to time")</f>
        <v/>
      </c>
    </row>
    <row r="1352">
      <c r="A1352">
        <f>HYPERLINK("https://www.youtube.com/watch?v=k-lXK-GJzI0", "Video")</f>
        <v/>
      </c>
      <c r="B1352" t="inlineStr">
        <is>
          <t>1:57</t>
        </is>
      </c>
      <c r="C1352" t="inlineStr">
        <is>
          <t>this must drive you crazy him choosing</t>
        </is>
      </c>
      <c r="D1352">
        <f>HYPERLINK("https://www.youtube.com/watch?v=k-lXK-GJzI0&amp;t=117s", "Go to time")</f>
        <v/>
      </c>
    </row>
    <row r="1353">
      <c r="A1353">
        <f>HYPERLINK("https://www.youtube.com/watch?v=VhQFlU193oc", "Video")</f>
        <v/>
      </c>
      <c r="B1353" t="inlineStr">
        <is>
          <t>2:11</t>
        </is>
      </c>
      <c r="C1353" t="inlineStr">
        <is>
          <t>okay I Drive you home no I'll Drive</t>
        </is>
      </c>
      <c r="D1353">
        <f>HYPERLINK("https://www.youtube.com/watch?v=VhQFlU193oc&amp;t=131s", "Go to time")</f>
        <v/>
      </c>
    </row>
    <row r="1354">
      <c r="A1354">
        <f>HYPERLINK("https://www.youtube.com/watch?v=BuQWDplkQrU", "Video")</f>
        <v/>
      </c>
      <c r="B1354" t="inlineStr">
        <is>
          <t>0:00</t>
        </is>
      </c>
      <c r="C1354" t="inlineStr">
        <is>
          <t>we now need experienced truck drivers</t>
        </is>
      </c>
      <c r="D1354">
        <f>HYPERLINK("https://www.youtube.com/watch?v=BuQWDplkQrU&amp;t=0s", "Go to time")</f>
        <v/>
      </c>
    </row>
    <row r="1355">
      <c r="A1355">
        <f>HYPERLINK("https://www.youtube.com/watch?v=BuQWDplkQrU", "Video")</f>
        <v/>
      </c>
      <c r="B1355" t="inlineStr">
        <is>
          <t>0:25</t>
        </is>
      </c>
      <c r="C1355" t="inlineStr">
        <is>
          <t>will pay 8 000 pesos to each driver</t>
        </is>
      </c>
      <c r="D1355">
        <f>HYPERLINK("https://www.youtube.com/watch?v=BuQWDplkQrU&amp;t=25s", "Go to time")</f>
        <v/>
      </c>
    </row>
    <row r="1356">
      <c r="A1356">
        <f>HYPERLINK("https://www.youtube.com/watch?v=rPWbRdk4nlY", "Video")</f>
        <v/>
      </c>
      <c r="B1356" t="inlineStr">
        <is>
          <t>42:19</t>
        </is>
      </c>
      <c r="C1356" t="inlineStr">
        <is>
          <t>fan drive and it just goes up get The</t>
        </is>
      </c>
      <c r="D1356">
        <f>HYPERLINK("https://www.youtube.com/watch?v=rPWbRdk4nlY&amp;t=2539s", "Go to time")</f>
        <v/>
      </c>
    </row>
    <row r="1357">
      <c r="A1357">
        <f>HYPERLINK("https://www.youtube.com/watch?v=7em3a1LjSVg", "Video")</f>
        <v/>
      </c>
      <c r="B1357" t="inlineStr">
        <is>
          <t>0:11</t>
        </is>
      </c>
      <c r="C1357" t="inlineStr">
        <is>
          <t>I'm engaging the scramble drive that</t>
        </is>
      </c>
      <c r="D1357">
        <f>HYPERLINK("https://www.youtube.com/watch?v=7em3a1LjSVg&amp;t=11s", "Go to time")</f>
        <v/>
      </c>
    </row>
    <row r="1358">
      <c r="A1358">
        <f>HYPERLINK("https://www.youtube.com/watch?v=DNn1ps4-hPo", "Video")</f>
        <v/>
      </c>
      <c r="B1358" t="inlineStr">
        <is>
          <t>1:55</t>
        </is>
      </c>
      <c r="C1358" t="inlineStr">
        <is>
          <t>you want to kill one you drive a wooden</t>
        </is>
      </c>
      <c r="D1358">
        <f>HYPERLINK("https://www.youtube.com/watch?v=DNn1ps4-hPo&amp;t=115s", "Go to time")</f>
        <v/>
      </c>
    </row>
    <row r="1359">
      <c r="A1359">
        <f>HYPERLINK("https://www.youtube.com/watch?v=6V3vY7TW4S8", "Video")</f>
        <v/>
      </c>
      <c r="B1359" t="inlineStr">
        <is>
          <t>36:23</t>
        </is>
      </c>
      <c r="C1359" t="inlineStr">
        <is>
          <t>yeah yeah overdrive something like that</t>
        </is>
      </c>
      <c r="D1359">
        <f>HYPERLINK("https://www.youtube.com/watch?v=6V3vY7TW4S8&amp;t=2183s", "Go to time")</f>
        <v/>
      </c>
    </row>
    <row r="1360">
      <c r="A1360">
        <f>HYPERLINK("https://www.youtube.com/watch?v=unHif0jfhnc", "Video")</f>
        <v/>
      </c>
      <c r="B1360" t="inlineStr">
        <is>
          <t>3:06</t>
        </is>
      </c>
      <c r="C1360" t="inlineStr">
        <is>
          <t>drive aren't you</t>
        </is>
      </c>
      <c r="D1360">
        <f>HYPERLINK("https://www.youtube.com/watch?v=unHif0jfhnc&amp;t=186s", "Go to time")</f>
        <v/>
      </c>
    </row>
    <row r="1361">
      <c r="A1361">
        <f>HYPERLINK("https://www.youtube.com/watch?v=sFo-ejt26JU", "Video")</f>
        <v/>
      </c>
      <c r="B1361" t="inlineStr">
        <is>
          <t>1:03</t>
        </is>
      </c>
      <c r="C1361" t="inlineStr">
        <is>
          <t>you know you used to drive this artsy</t>
        </is>
      </c>
      <c r="D1361">
        <f>HYPERLINK("https://www.youtube.com/watch?v=sFo-ejt26JU&amp;t=63s", "Go to time")</f>
        <v/>
      </c>
    </row>
    <row r="1362">
      <c r="A1362">
        <f>HYPERLINK("https://www.youtube.com/watch?v=sFo-ejt26JU", "Video")</f>
        <v/>
      </c>
      <c r="B1362" t="inlineStr">
        <is>
          <t>1:05</t>
        </is>
      </c>
      <c r="C1362" t="inlineStr">
        <is>
          <t>car that didn't even drive it wasn't</t>
        </is>
      </c>
      <c r="D1362">
        <f>HYPERLINK("https://www.youtube.com/watch?v=sFo-ejt26JU&amp;t=65s", "Go to time")</f>
        <v/>
      </c>
    </row>
    <row r="1363">
      <c r="A1363">
        <f>HYPERLINK("https://www.youtube.com/watch?v=sFo-ejt26JU", "Video")</f>
        <v/>
      </c>
      <c r="B1363" t="inlineStr">
        <is>
          <t>2:21</t>
        </is>
      </c>
      <c r="C1363" t="inlineStr">
        <is>
          <t>right you shouldn't drive like this</t>
        </is>
      </c>
      <c r="D1363">
        <f>HYPERLINK("https://www.youtube.com/watch?v=sFo-ejt26JU&amp;t=141s", "Go to time")</f>
        <v/>
      </c>
    </row>
    <row r="1364">
      <c r="A1364">
        <f>HYPERLINK("https://www.youtube.com/watch?v=nLgTKh5sKb0", "Video")</f>
        <v/>
      </c>
      <c r="B1364" t="inlineStr">
        <is>
          <t>2:02</t>
        </is>
      </c>
      <c r="C1364" t="inlineStr">
        <is>
          <t>drives you mad</t>
        </is>
      </c>
      <c r="D1364">
        <f>HYPERLINK("https://www.youtube.com/watch?v=nLgTKh5sKb0&amp;t=122s", "Go to time")</f>
        <v/>
      </c>
    </row>
    <row r="1365">
      <c r="A1365">
        <f>HYPERLINK("https://www.youtube.com/watch?v=06qgu4XoNL4", "Video")</f>
        <v/>
      </c>
      <c r="B1365" t="inlineStr">
        <is>
          <t>0:59</t>
        </is>
      </c>
      <c r="C1365" t="inlineStr">
        <is>
          <t>huh got to be the getaway driver</t>
        </is>
      </c>
      <c r="D1365">
        <f>HYPERLINK("https://www.youtube.com/watch?v=06qgu4XoNL4&amp;t=59s", "Go to time")</f>
        <v/>
      </c>
    </row>
    <row r="1366">
      <c r="A1366">
        <f>HYPERLINK("https://www.youtube.com/watch?v=CXff69DOEMo", "Video")</f>
        <v/>
      </c>
      <c r="B1366" t="inlineStr">
        <is>
          <t>0:40</t>
        </is>
      </c>
      <c r="C1366" t="inlineStr">
        <is>
          <t>I can drive out there baby</t>
        </is>
      </c>
      <c r="D1366">
        <f>HYPERLINK("https://www.youtube.com/watch?v=CXff69DOEMo&amp;t=40s", "Go to time")</f>
        <v/>
      </c>
    </row>
    <row r="1367">
      <c r="A1367">
        <f>HYPERLINK("https://www.youtube.com/watch?v=h8OvQ3j5uQQ", "Video")</f>
        <v/>
      </c>
      <c r="B1367" t="inlineStr">
        <is>
          <t>19:52</t>
        </is>
      </c>
      <c r="C1367" t="inlineStr">
        <is>
          <t>after being abandoned by their driver</t>
        </is>
      </c>
      <c r="D1367">
        <f>HYPERLINK("https://www.youtube.com/watch?v=h8OvQ3j5uQQ&amp;t=1192s", "Go to time")</f>
        <v/>
      </c>
    </row>
    <row r="1368">
      <c r="A1368">
        <f>HYPERLINK("https://www.youtube.com/watch?v=s-uSI5Arsjk", "Video")</f>
        <v/>
      </c>
      <c r="B1368" t="inlineStr">
        <is>
          <t>0:49</t>
        </is>
      </c>
      <c r="C1368" t="inlineStr">
        <is>
          <t>she could drive while sitting in the</t>
        </is>
      </c>
      <c r="D1368">
        <f>HYPERLINK("https://www.youtube.com/watch?v=s-uSI5Arsjk&amp;t=49s", "Go to time")</f>
        <v/>
      </c>
    </row>
    <row r="1369">
      <c r="A1369">
        <f>HYPERLINK("https://www.youtube.com/watch?v=s-uSI5Arsjk", "Video")</f>
        <v/>
      </c>
      <c r="B1369" t="inlineStr">
        <is>
          <t>0:55</t>
        </is>
      </c>
      <c r="C1369" t="inlineStr">
        <is>
          <t>control system to drive the demon</t>
        </is>
      </c>
      <c r="D1369">
        <f>HYPERLINK("https://www.youtube.com/watch?v=s-uSI5Arsjk&amp;t=55s", "Go to time")</f>
        <v/>
      </c>
    </row>
    <row r="1370">
      <c r="A1370">
        <f>HYPERLINK("https://www.youtube.com/watch?v=SyCah0i9Cso", "Video")</f>
        <v/>
      </c>
      <c r="B1370" t="inlineStr">
        <is>
          <t>16:47</t>
        </is>
      </c>
      <c r="C1370" t="inlineStr">
        <is>
          <t>was driven mad by the loss of his eye</t>
        </is>
      </c>
      <c r="D1370">
        <f>HYPERLINK("https://www.youtube.com/watch?v=SyCah0i9Cso&amp;t=1007s", "Go to time")</f>
        <v/>
      </c>
    </row>
    <row r="1371">
      <c r="A1371">
        <f>HYPERLINK("https://www.youtube.com/watch?v=u944Nj_HUdI", "Video")</f>
        <v/>
      </c>
      <c r="B1371" t="inlineStr">
        <is>
          <t>0:29</t>
        </is>
      </c>
      <c r="C1371" t="inlineStr">
        <is>
          <t>boy what else the bus driver had to stop</t>
        </is>
      </c>
      <c r="D1371">
        <f>HYPERLINK("https://www.youtube.com/watch?v=u944Nj_HUdI&amp;t=29s", "Go to time")</f>
        <v/>
      </c>
    </row>
    <row r="1372">
      <c r="A1372">
        <f>HYPERLINK("https://www.youtube.com/watch?v=5XsMQn7p_Fk", "Video")</f>
        <v/>
      </c>
      <c r="B1372" t="inlineStr">
        <is>
          <t>0:58</t>
        </is>
      </c>
      <c r="C1372" t="inlineStr">
        <is>
          <t>wash and asked you to drive his truck</t>
        </is>
      </c>
      <c r="D1372">
        <f>HYPERLINK("https://www.youtube.com/watch?v=5XsMQn7p_Fk&amp;t=58s", "Go to time")</f>
        <v/>
      </c>
    </row>
    <row r="1373">
      <c r="A1373">
        <f>HYPERLINK("https://www.youtube.com/watch?v=5XsMQn7p_Fk", "Video")</f>
        <v/>
      </c>
      <c r="B1373" t="inlineStr">
        <is>
          <t>3:19</t>
        </is>
      </c>
      <c r="C1373" t="inlineStr">
        <is>
          <t>did you drive his truck to monroeville</t>
        </is>
      </c>
      <c r="D1373">
        <f>HYPERLINK("https://www.youtube.com/watch?v=5XsMQn7p_Fk&amp;t=199s", "Go to time")</f>
        <v/>
      </c>
    </row>
    <row r="1374">
      <c r="A1374">
        <f>HYPERLINK("https://www.youtube.com/watch?v=qGQLjHeXQYA", "Video")</f>
        <v/>
      </c>
      <c r="B1374" t="inlineStr">
        <is>
          <t>2:19</t>
        </is>
      </c>
      <c r="C1374" t="inlineStr">
        <is>
          <t>dents resulting in the belt drive</t>
        </is>
      </c>
      <c r="D1374">
        <f>HYPERLINK("https://www.youtube.com/watch?v=qGQLjHeXQYA&amp;t=139s", "Go to time")</f>
        <v/>
      </c>
    </row>
    <row r="1375">
      <c r="A1375">
        <f>HYPERLINK("https://www.youtube.com/watch?v=qGQLjHeXQYA", "Video")</f>
        <v/>
      </c>
      <c r="B1375" t="inlineStr">
        <is>
          <t>2:36</t>
        </is>
      </c>
      <c r="C1375" t="inlineStr">
        <is>
          <t>the agitator drive shaft and spin tube</t>
        </is>
      </c>
      <c r="D1375">
        <f>HYPERLINK("https://www.youtube.com/watch?v=qGQLjHeXQYA&amp;t=156s", "Go to time")</f>
        <v/>
      </c>
    </row>
    <row r="1376">
      <c r="A1376">
        <f>HYPERLINK("https://www.youtube.com/watch?v=lW1GEGVwFtY", "Video")</f>
        <v/>
      </c>
      <c r="B1376" t="inlineStr">
        <is>
          <t>3:39</t>
        </is>
      </c>
      <c r="C1376" t="inlineStr">
        <is>
          <t>there man no I mean your driver's</t>
        </is>
      </c>
      <c r="D1376">
        <f>HYPERLINK("https://www.youtube.com/watch?v=lW1GEGVwFtY&amp;t=219s", "Go to time")</f>
        <v/>
      </c>
    </row>
    <row r="1377">
      <c r="A1377">
        <f>HYPERLINK("https://www.youtube.com/watch?v=lW1GEGVwFtY", "Video")</f>
        <v/>
      </c>
      <c r="B1377" t="inlineStr">
        <is>
          <t>3:44</t>
        </is>
      </c>
      <c r="C1377" t="inlineStr">
        <is>
          <t>driver's license</t>
        </is>
      </c>
      <c r="D1377">
        <f>HYPERLINK("https://www.youtube.com/watch?v=lW1GEGVwFtY&amp;t=224s", "Go to time")</f>
        <v/>
      </c>
    </row>
    <row r="1378">
      <c r="A1378">
        <f>HYPERLINK("https://www.youtube.com/watch?v=rsi2WcPIcQ0", "Video")</f>
        <v/>
      </c>
      <c r="B1378" t="inlineStr">
        <is>
          <t>1:29</t>
        </is>
      </c>
      <c r="C1378" t="inlineStr">
        <is>
          <t>just like this cuz I got the drive oh</t>
        </is>
      </c>
      <c r="D1378">
        <f>HYPERLINK("https://www.youtube.com/watch?v=rsi2WcPIcQ0&amp;t=89s", "Go to time")</f>
        <v/>
      </c>
    </row>
    <row r="1379">
      <c r="A1379">
        <f>HYPERLINK("https://www.youtube.com/watch?v=rsi2WcPIcQ0", "Video")</f>
        <v/>
      </c>
      <c r="B1379" t="inlineStr">
        <is>
          <t>1:40</t>
        </is>
      </c>
      <c r="C1379" t="inlineStr">
        <is>
          <t>move in you'll have to drive that</t>
        </is>
      </c>
      <c r="D1379">
        <f>HYPERLINK("https://www.youtube.com/watch?v=rsi2WcPIcQ0&amp;t=100s", "Go to time")</f>
        <v/>
      </c>
    </row>
    <row r="1380">
      <c r="A1380">
        <f>HYPERLINK("https://www.youtube.com/watch?v=p72jakpQxjw", "Video")</f>
        <v/>
      </c>
      <c r="B1380" t="inlineStr">
        <is>
          <t>2:34</t>
        </is>
      </c>
      <c r="C1380" t="inlineStr">
        <is>
          <t>the front seat of a car while the driver</t>
        </is>
      </c>
      <c r="D1380">
        <f>HYPERLINK("https://www.youtube.com/watch?v=p72jakpQxjw&amp;t=154s", "Go to time")</f>
        <v/>
      </c>
    </row>
    <row r="1381">
      <c r="A1381">
        <f>HYPERLINK("https://www.youtube.com/watch?v=2xHc6tO14og", "Video")</f>
        <v/>
      </c>
      <c r="B1381" t="inlineStr">
        <is>
          <t>1:41</t>
        </is>
      </c>
      <c r="C1381" t="inlineStr">
        <is>
          <t>the stench made the driver vomit</t>
        </is>
      </c>
      <c r="D1381">
        <f>HYPERLINK("https://www.youtube.com/watch?v=2xHc6tO14og&amp;t=101s", "Go to time")</f>
        <v/>
      </c>
    </row>
    <row r="1382">
      <c r="A1382">
        <f>HYPERLINK("https://www.youtube.com/watch?v=ft7zjbnVbcc", "Video")</f>
        <v/>
      </c>
      <c r="B1382" t="inlineStr">
        <is>
          <t>0:32</t>
        </is>
      </c>
      <c r="C1382" t="inlineStr">
        <is>
          <t>like having a driveth through window</t>
        </is>
      </c>
      <c r="D1382">
        <f>HYPERLINK("https://www.youtube.com/watch?v=ft7zjbnVbcc&amp;t=32s", "Go to time")</f>
        <v/>
      </c>
    </row>
    <row r="1383">
      <c r="A1383">
        <f>HYPERLINK("https://www.youtube.com/watch?v=ft7zjbnVbcc", "Video")</f>
        <v/>
      </c>
      <c r="B1383" t="inlineStr">
        <is>
          <t>0:34</t>
        </is>
      </c>
      <c r="C1383" t="inlineStr">
        <is>
          <t>drive with</t>
        </is>
      </c>
      <c r="D1383">
        <f>HYPERLINK("https://www.youtube.com/watch?v=ft7zjbnVbcc&amp;t=34s", "Go to time")</f>
        <v/>
      </c>
    </row>
    <row r="1384">
      <c r="A1384">
        <f>HYPERLINK("https://www.youtube.com/watch?v=ft7zjbnVbcc", "Video")</f>
        <v/>
      </c>
      <c r="B1384" t="inlineStr">
        <is>
          <t>2:08</t>
        </is>
      </c>
      <c r="C1384" t="inlineStr">
        <is>
          <t>fix I will drive each competitor is</t>
        </is>
      </c>
      <c r="D1384">
        <f>HYPERLINK("https://www.youtube.com/watch?v=ft7zjbnVbcc&amp;t=128s", "Go to time")</f>
        <v/>
      </c>
    </row>
    <row r="1385">
      <c r="A1385">
        <f>HYPERLINK("https://www.youtube.com/watch?v=qi9SA4fgAB0", "Video")</f>
        <v/>
      </c>
      <c r="B1385" t="inlineStr">
        <is>
          <t>1:48</t>
        </is>
      </c>
      <c r="C1385" t="inlineStr">
        <is>
          <t>i don't want to drive it i just want my</t>
        </is>
      </c>
      <c r="D1385">
        <f>HYPERLINK("https://www.youtube.com/watch?v=qi9SA4fgAB0&amp;t=108s", "Go to time")</f>
        <v/>
      </c>
    </row>
    <row r="1386">
      <c r="A1386">
        <f>HYPERLINK("https://www.youtube.com/watch?v=OF4KakYs1dM", "Video")</f>
        <v/>
      </c>
      <c r="B1386" t="inlineStr">
        <is>
          <t>0:48</t>
        </is>
      </c>
      <c r="C1386" t="inlineStr">
        <is>
          <t>drive let me drive1 Houston got a 1080</t>
        </is>
      </c>
      <c r="D1386">
        <f>HYPERLINK("https://www.youtube.com/watch?v=OF4KakYs1dM&amp;t=48s", "Go to time")</f>
        <v/>
      </c>
    </row>
    <row r="1387">
      <c r="A1387">
        <f>HYPERLINK("https://www.youtube.com/watch?v=OF4KakYs1dM", "Video")</f>
        <v/>
      </c>
      <c r="B1387" t="inlineStr">
        <is>
          <t>1:02</t>
        </is>
      </c>
      <c r="C1387" t="inlineStr">
        <is>
          <t>let me drive Lu right now let me drive</t>
        </is>
      </c>
      <c r="D1387">
        <f>HYPERLINK("https://www.youtube.com/watch?v=OF4KakYs1dM&amp;t=62s", "Go to time")</f>
        <v/>
      </c>
    </row>
    <row r="1388">
      <c r="A1388">
        <f>HYPERLINK("https://www.youtube.com/watch?v=VtTNioNQxvk", "Video")</f>
        <v/>
      </c>
      <c r="B1388" t="inlineStr">
        <is>
          <t>3:07</t>
        </is>
      </c>
      <c r="C1388" t="inlineStr">
        <is>
          <t>they try to drive to hartford to stay</t>
        </is>
      </c>
      <c r="D1388">
        <f>HYPERLINK("https://www.youtube.com/watch?v=VtTNioNQxvk&amp;t=187s", "Go to time")</f>
        <v/>
      </c>
    </row>
    <row r="1389">
      <c r="A1389">
        <f>HYPERLINK("https://www.youtube.com/watch?v=VtTNioNQxvk", "Video")</f>
        <v/>
      </c>
      <c r="B1389" t="inlineStr">
        <is>
          <t>13:49</t>
        </is>
      </c>
      <c r="C1389" t="inlineStr">
        <is>
          <t>mouth so i would drive anybody to the</t>
        </is>
      </c>
      <c r="D1389">
        <f>HYPERLINK("https://www.youtube.com/watch?v=VtTNioNQxvk&amp;t=829s", "Go to time")</f>
        <v/>
      </c>
    </row>
    <row r="1390">
      <c r="A1390">
        <f>HYPERLINK("https://www.youtube.com/watch?v=VLkFt4Vg-y0", "Video")</f>
        <v/>
      </c>
      <c r="B1390" t="inlineStr">
        <is>
          <t>0:00</t>
        </is>
      </c>
      <c r="C1390" t="inlineStr">
        <is>
          <t>people always drive to uh honey we have</t>
        </is>
      </c>
      <c r="D1390">
        <f>HYPERLINK("https://www.youtube.com/watch?v=VLkFt4Vg-y0&amp;t=0s", "Go to time")</f>
        <v/>
      </c>
    </row>
    <row r="1391">
      <c r="A1391">
        <f>HYPERLINK("https://www.youtube.com/watch?v=IOuwN8uPm-c", "Video")</f>
        <v/>
      </c>
      <c r="B1391" t="inlineStr">
        <is>
          <t>0:04</t>
        </is>
      </c>
      <c r="C1391" t="inlineStr">
        <is>
          <t>Marv you did drive me to a quarry and</t>
        </is>
      </c>
      <c r="D1391">
        <f>HYPERLINK("https://www.youtube.com/watch?v=IOuwN8uPm-c&amp;t=4s", "Go to time")</f>
        <v/>
      </c>
    </row>
    <row r="1392">
      <c r="A1392">
        <f>HYPERLINK("https://www.youtube.com/watch?v=lJ7jW9KERNY", "Video")</f>
        <v/>
      </c>
      <c r="B1392" t="inlineStr">
        <is>
          <t>0:46</t>
        </is>
      </c>
      <c r="C1392" t="inlineStr">
        <is>
          <t>I thought you knew how to drive this</t>
        </is>
      </c>
      <c r="D1392">
        <f>HYPERLINK("https://www.youtube.com/watch?v=lJ7jW9KERNY&amp;t=46s", "Go to time")</f>
        <v/>
      </c>
    </row>
    <row r="1393">
      <c r="A1393">
        <f>HYPERLINK("https://www.youtube.com/watch?v=dP5e3MxjRiw", "Video")</f>
        <v/>
      </c>
      <c r="B1393" t="inlineStr">
        <is>
          <t>0:16</t>
        </is>
      </c>
      <c r="C1393" t="inlineStr">
        <is>
          <t>is across them driver on these bagels</t>
        </is>
      </c>
      <c r="D1393">
        <f>HYPERLINK("https://www.youtube.com/watch?v=dP5e3MxjRiw&amp;t=16s", "Go to time")</f>
        <v/>
      </c>
    </row>
    <row r="1394">
      <c r="A1394">
        <f>HYPERLINK("https://www.youtube.com/watch?v=qbBblCREkhI", "Video")</f>
        <v/>
      </c>
      <c r="B1394" t="inlineStr">
        <is>
          <t>0:27</t>
        </is>
      </c>
      <c r="C1394" t="inlineStr">
        <is>
          <t>price I want to drive for an hour a day</t>
        </is>
      </c>
      <c r="D1394">
        <f>HYPERLINK("https://www.youtube.com/watch?v=qbBblCREkhI&amp;t=27s", "Go to time")</f>
        <v/>
      </c>
    </row>
    <row r="1395">
      <c r="A1395">
        <f>HYPERLINK("https://www.youtube.com/watch?v=JWbC9uXfsZM", "Video")</f>
        <v/>
      </c>
      <c r="B1395" t="inlineStr">
        <is>
          <t>0:40</t>
        </is>
      </c>
      <c r="C1395" t="inlineStr">
        <is>
          <t>me drive the stake through their hearts</t>
        </is>
      </c>
      <c r="D1395">
        <f>HYPERLINK("https://www.youtube.com/watch?v=JWbC9uXfsZM&amp;t=40s", "Go to time")</f>
        <v/>
      </c>
    </row>
    <row r="1396">
      <c r="A1396">
        <f>HYPERLINK("https://www.youtube.com/watch?v=V5S0bL4hS20", "Video")</f>
        <v/>
      </c>
      <c r="B1396" t="inlineStr">
        <is>
          <t>0:57</t>
        </is>
      </c>
      <c r="C1396" t="inlineStr">
        <is>
          <t>old and was driven out of the house in</t>
        </is>
      </c>
      <c r="D1396">
        <f>HYPERLINK("https://www.youtube.com/watch?v=V5S0bL4hS20&amp;t=57s", "Go to time")</f>
        <v/>
      </c>
    </row>
    <row r="1397">
      <c r="A1397">
        <f>HYPERLINK("https://www.youtube.com/watch?v=r1rT20VGQ5o", "Video")</f>
        <v/>
      </c>
      <c r="B1397" t="inlineStr">
        <is>
          <t>36:37</t>
        </is>
      </c>
      <c r="C1397" t="inlineStr">
        <is>
          <t>van that we rented to my sister to drive</t>
        </is>
      </c>
      <c r="D1397">
        <f>HYPERLINK("https://www.youtube.com/watch?v=r1rT20VGQ5o&amp;t=2197s", "Go to time")</f>
        <v/>
      </c>
    </row>
    <row r="1398">
      <c r="A1398">
        <f>HYPERLINK("https://www.youtube.com/watch?v=dC0nEaWgsm8", "Video")</f>
        <v/>
      </c>
      <c r="B1398" t="inlineStr">
        <is>
          <t>1:57</t>
        </is>
      </c>
      <c r="C1398" t="inlineStr">
        <is>
          <t>Drive</t>
        </is>
      </c>
      <c r="D1398">
        <f>HYPERLINK("https://www.youtube.com/watch?v=dC0nEaWgsm8&amp;t=117s", "Go to time")</f>
        <v/>
      </c>
    </row>
    <row r="1399">
      <c r="A1399">
        <f>HYPERLINK("https://www.youtube.com/watch?v=aq021d3B650", "Video")</f>
        <v/>
      </c>
      <c r="B1399" t="inlineStr">
        <is>
          <t>1:02</t>
        </is>
      </c>
      <c r="C1399" t="inlineStr">
        <is>
          <t>you're a brave man to drive with him</t>
        </is>
      </c>
      <c r="D1399">
        <f>HYPERLINK("https://www.youtube.com/watch?v=aq021d3B650&amp;t=62s", "Go to time")</f>
        <v/>
      </c>
    </row>
    <row r="1400">
      <c r="A1400">
        <f>HYPERLINK("https://www.youtube.com/watch?v=Xq5eXYCKUF8", "Video")</f>
        <v/>
      </c>
      <c r="B1400" t="inlineStr">
        <is>
          <t>1:42</t>
        </is>
      </c>
      <c r="C1400" t="inlineStr">
        <is>
          <t>on the street partner your driveway is</t>
        </is>
      </c>
      <c r="D1400">
        <f>HYPERLINK("https://www.youtube.com/watch?v=Xq5eXYCKUF8&amp;t=102s", "Go to time")</f>
        <v/>
      </c>
    </row>
    <row r="1401">
      <c r="A1401">
        <f>HYPERLINK("https://www.youtube.com/watch?v=wlsLJik8inQ", "Video")</f>
        <v/>
      </c>
      <c r="B1401" t="inlineStr">
        <is>
          <t>25:40</t>
        </is>
      </c>
      <c r="C1401" t="inlineStr">
        <is>
          <t>actually drive the story it just felt so</t>
        </is>
      </c>
      <c r="D1401">
        <f>HYPERLINK("https://www.youtube.com/watch?v=wlsLJik8inQ&amp;t=1540s", "Go to time")</f>
        <v/>
      </c>
    </row>
    <row r="1402">
      <c r="A1402">
        <f>HYPERLINK("https://www.youtube.com/watch?v=CtcQNdbPsSQ", "Video")</f>
        <v/>
      </c>
      <c r="B1402" t="inlineStr">
        <is>
          <t>0:00</t>
        </is>
      </c>
      <c r="C1402" t="inlineStr">
        <is>
          <t>saying we can't get onto the flash drive</t>
        </is>
      </c>
      <c r="D1402">
        <f>HYPERLINK("https://www.youtube.com/watch?v=CtcQNdbPsSQ&amp;t=0s", "Go to time")</f>
        <v/>
      </c>
    </row>
    <row r="1403">
      <c r="A1403">
        <f>HYPERLINK("https://www.youtube.com/watch?v=Il5WMLS-GWI", "Video")</f>
        <v/>
      </c>
      <c r="B1403" t="inlineStr">
        <is>
          <t>3:18</t>
        </is>
      </c>
      <c r="C1403" t="inlineStr">
        <is>
          <t>michael myers ever learn how to drive a</t>
        </is>
      </c>
      <c r="D1403">
        <f>HYPERLINK("https://www.youtube.com/watch?v=Il5WMLS-GWI&amp;t=198s", "Go to time")</f>
        <v/>
      </c>
    </row>
    <row r="1404">
      <c r="A1404">
        <f>HYPERLINK("https://www.youtube.com/watch?v=Il5WMLS-GWI", "Video")</f>
        <v/>
      </c>
      <c r="B1404" t="inlineStr">
        <is>
          <t>13:16</t>
        </is>
      </c>
      <c r="C1404" t="inlineStr">
        <is>
          <t>a drive-by of the school dance it was</t>
        </is>
      </c>
      <c r="D1404">
        <f>HYPERLINK("https://www.youtube.com/watch?v=Il5WMLS-GWI&amp;t=796s", "Go to time")</f>
        <v/>
      </c>
    </row>
    <row r="1405">
      <c r="A1405">
        <f>HYPERLINK("https://www.youtube.com/watch?v=Il5WMLS-GWI", "Video")</f>
        <v/>
      </c>
      <c r="B1405" t="inlineStr">
        <is>
          <t>22:59</t>
        </is>
      </c>
      <c r="C1405" t="inlineStr">
        <is>
          <t>spontaneously drive a car having been</t>
        </is>
      </c>
      <c r="D1405">
        <f>HYPERLINK("https://www.youtube.com/watch?v=Il5WMLS-GWI&amp;t=1379s", "Go to time")</f>
        <v/>
      </c>
    </row>
    <row r="1406">
      <c r="A1406">
        <f>HYPERLINK("https://www.youtube.com/watch?v=l0ElOwDxKDU", "Video")</f>
        <v/>
      </c>
      <c r="B1406" t="inlineStr">
        <is>
          <t>2:37</t>
        </is>
      </c>
      <c r="C1406" t="inlineStr">
        <is>
          <t>Tommy Drive the Chevy</t>
        </is>
      </c>
      <c r="D1406">
        <f>HYPERLINK("https://www.youtube.com/watch?v=l0ElOwDxKDU&amp;t=157s", "Go to time")</f>
        <v/>
      </c>
    </row>
    <row r="1407">
      <c r="A1407">
        <f>HYPERLINK("https://www.youtube.com/watch?v=wTLSW-UCXcM", "Video")</f>
        <v/>
      </c>
      <c r="B1407" t="inlineStr">
        <is>
          <t>1:24</t>
        </is>
      </c>
      <c r="C1407" t="inlineStr">
        <is>
          <t>bus driver I never would have let it go</t>
        </is>
      </c>
      <c r="D1407">
        <f>HYPERLINK("https://www.youtube.com/watch?v=wTLSW-UCXcM&amp;t=84s", "Go to time")</f>
        <v/>
      </c>
    </row>
    <row r="1408">
      <c r="A1408">
        <f>HYPERLINK("https://www.youtube.com/watch?v=iFn23T_bUKg", "Video")</f>
        <v/>
      </c>
      <c r="B1408" t="inlineStr">
        <is>
          <t>2:09</t>
        </is>
      </c>
      <c r="C1408" t="inlineStr">
        <is>
          <t>drive home safely</t>
        </is>
      </c>
      <c r="D1408">
        <f>HYPERLINK("https://www.youtube.com/watch?v=iFn23T_bUKg&amp;t=129s", "Go to time")</f>
        <v/>
      </c>
    </row>
    <row r="1409">
      <c r="A1409">
        <f>HYPERLINK("https://www.youtube.com/watch?v=ShTKpdSWfsA", "Video")</f>
        <v/>
      </c>
      <c r="B1409" t="inlineStr">
        <is>
          <t>0:44</t>
        </is>
      </c>
      <c r="C1409" t="inlineStr">
        <is>
          <t>I was her driver</t>
        </is>
      </c>
      <c r="D1409">
        <f>HYPERLINK("https://www.youtube.com/watch?v=ShTKpdSWfsA&amp;t=44s", "Go to time")</f>
        <v/>
      </c>
    </row>
    <row r="1410">
      <c r="A1410">
        <f>HYPERLINK("https://www.youtube.com/watch?v=CgwNoOUtr7s", "Video")</f>
        <v/>
      </c>
      <c r="B1410" t="inlineStr">
        <is>
          <t>1:21</t>
        </is>
      </c>
      <c r="C1410" t="inlineStr">
        <is>
          <t>I'd posted another buyer and drive up</t>
        </is>
      </c>
      <c r="D1410">
        <f>HYPERLINK("https://www.youtube.com/watch?v=CgwNoOUtr7s&amp;t=81s", "Go to time")</f>
        <v/>
      </c>
    </row>
    <row r="1411">
      <c r="A1411">
        <f>HYPERLINK("https://www.youtube.com/watch?v=td1I2QMBRXE", "Video")</f>
        <v/>
      </c>
      <c r="B1411" t="inlineStr">
        <is>
          <t>10:41</t>
        </is>
      </c>
      <c r="C1411" t="inlineStr">
        <is>
          <t>number three Mulholland Drive</t>
        </is>
      </c>
      <c r="D1411">
        <f>HYPERLINK("https://www.youtube.com/watch?v=td1I2QMBRXE&amp;t=641s", "Go to time")</f>
        <v/>
      </c>
    </row>
    <row r="1412">
      <c r="A1412">
        <f>HYPERLINK("https://www.youtube.com/watch?v=td1I2QMBRXE", "Video")</f>
        <v/>
      </c>
      <c r="B1412" t="inlineStr">
        <is>
          <t>10:58</t>
        </is>
      </c>
      <c r="C1412" t="inlineStr">
        <is>
          <t>Mulholland Drive develops Amnesia she's</t>
        </is>
      </c>
      <c r="D1412">
        <f>HYPERLINK("https://www.youtube.com/watch?v=td1I2QMBRXE&amp;t=658s", "Go to time")</f>
        <v/>
      </c>
    </row>
    <row r="1413">
      <c r="A1413">
        <f>HYPERLINK("https://www.youtube.com/watch?v=td1I2QMBRXE", "Video")</f>
        <v/>
      </c>
      <c r="B1413" t="inlineStr">
        <is>
          <t>11:40</t>
        </is>
      </c>
      <c r="C1413" t="inlineStr">
        <is>
          <t>Drive was actually originally conceived</t>
        </is>
      </c>
      <c r="D1413">
        <f>HYPERLINK("https://www.youtube.com/watch?v=td1I2QMBRXE&amp;t=700s", "Go to time")</f>
        <v/>
      </c>
    </row>
    <row r="1414">
      <c r="A1414">
        <f>HYPERLINK("https://www.youtube.com/watch?v=1bIOPVgnKUs", "Video")</f>
        <v/>
      </c>
      <c r="B1414" t="inlineStr">
        <is>
          <t>2:36</t>
        </is>
      </c>
      <c r="C1414" t="inlineStr">
        <is>
          <t>all right then sure yeah good okay drive</t>
        </is>
      </c>
      <c r="D1414">
        <f>HYPERLINK("https://www.youtube.com/watch?v=1bIOPVgnKUs&amp;t=156s", "Go to time")</f>
        <v/>
      </c>
    </row>
    <row r="1415">
      <c r="A1415">
        <f>HYPERLINK("https://www.youtube.com/watch?v=x4L81QLGYuM", "Video")</f>
        <v/>
      </c>
      <c r="B1415" t="inlineStr">
        <is>
          <t>2:50</t>
        </is>
      </c>
      <c r="C1415" t="inlineStr">
        <is>
          <t>oh look who brought a screwdriver to a</t>
        </is>
      </c>
      <c r="D1415">
        <f>HYPERLINK("https://www.youtube.com/watch?v=x4L81QLGYuM&amp;t=170s", "Go to time")</f>
        <v/>
      </c>
    </row>
    <row r="1416">
      <c r="A1416">
        <f>HYPERLINK("https://www.youtube.com/watch?v=qpdl8U9KyLA", "Video")</f>
        <v/>
      </c>
      <c r="B1416" t="inlineStr">
        <is>
          <t>1:35</t>
        </is>
      </c>
      <c r="C1416" t="inlineStr">
        <is>
          <t>how to drive</t>
        </is>
      </c>
      <c r="D1416">
        <f>HYPERLINK("https://www.youtube.com/watch?v=qpdl8U9KyLA&amp;t=95s", "Go to time")</f>
        <v/>
      </c>
    </row>
    <row r="1417">
      <c r="A1417">
        <f>HYPERLINK("https://www.youtube.com/watch?v=qpdl8U9KyLA", "Video")</f>
        <v/>
      </c>
      <c r="B1417" t="inlineStr">
        <is>
          <t>1:36</t>
        </is>
      </c>
      <c r="C1417" t="inlineStr">
        <is>
          <t>you do not have to learn how to drive oh</t>
        </is>
      </c>
      <c r="D1417">
        <f>HYPERLINK("https://www.youtube.com/watch?v=qpdl8U9KyLA&amp;t=96s", "Go to time")</f>
        <v/>
      </c>
    </row>
    <row r="1418">
      <c r="A1418">
        <f>HYPERLINK("https://www.youtube.com/watch?v=qpdl8U9KyLA", "Video")</f>
        <v/>
      </c>
      <c r="B1418" t="inlineStr">
        <is>
          <t>2:17</t>
        </is>
      </c>
      <c r="C1418" t="inlineStr">
        <is>
          <t>learning how to drive my God the world</t>
        </is>
      </c>
      <c r="D1418">
        <f>HYPERLINK("https://www.youtube.com/watch?v=qpdl8U9KyLA&amp;t=137s", "Go to time")</f>
        <v/>
      </c>
    </row>
    <row r="1419">
      <c r="A1419">
        <f>HYPERLINK("https://www.youtube.com/watch?v=ZUH2tyhGKk0", "Video")</f>
        <v/>
      </c>
      <c r="B1419" t="inlineStr">
        <is>
          <t>0:27</t>
        </is>
      </c>
      <c r="C1419" t="inlineStr">
        <is>
          <t>the day was long as hell on that drive</t>
        </is>
      </c>
      <c r="D1419">
        <f>HYPERLINK("https://www.youtube.com/watch?v=ZUH2tyhGKk0&amp;t=27s", "Go to time")</f>
        <v/>
      </c>
    </row>
    <row r="1420">
      <c r="A1420">
        <f>HYPERLINK("https://www.youtube.com/watch?v=5VR6t7No0WQ", "Video")</f>
        <v/>
      </c>
      <c r="B1420" t="inlineStr">
        <is>
          <t>0:38</t>
        </is>
      </c>
      <c r="C1420" t="inlineStr">
        <is>
          <t>driver thank you you didn't have to do</t>
        </is>
      </c>
      <c r="D1420">
        <f>HYPERLINK("https://www.youtube.com/watch?v=5VR6t7No0WQ&amp;t=38s", "Go to time")</f>
        <v/>
      </c>
    </row>
    <row r="1421">
      <c r="A1421">
        <f>HYPERLINK("https://www.youtube.com/watch?v=gQuY1ab-40s", "Video")</f>
        <v/>
      </c>
      <c r="B1421" t="inlineStr">
        <is>
          <t>7:29</t>
        </is>
      </c>
      <c r="C1421" t="inlineStr">
        <is>
          <t>drive this is not easy North North we're</t>
        </is>
      </c>
      <c r="D1421">
        <f>HYPERLINK("https://www.youtube.com/watch?v=gQuY1ab-40s&amp;t=449s", "Go to time")</f>
        <v/>
      </c>
    </row>
    <row r="1422">
      <c r="A1422">
        <f>HYPERLINK("https://www.youtube.com/watch?v=MJco9LtT9Vw", "Video")</f>
        <v/>
      </c>
      <c r="B1422" t="inlineStr">
        <is>
          <t>0:49</t>
        </is>
      </c>
      <c r="C1422" t="inlineStr">
        <is>
          <t>Cook's upcoming film driveaway dolls we</t>
        </is>
      </c>
      <c r="D1422">
        <f>HYPERLINK("https://www.youtube.com/watch?v=MJco9LtT9Vw&amp;t=49s", "Go to time")</f>
        <v/>
      </c>
    </row>
    <row r="1423">
      <c r="A1423">
        <f>HYPERLINK("https://www.youtube.com/watch?v=MJco9LtT9Vw", "Video")</f>
        <v/>
      </c>
      <c r="B1423" t="inlineStr">
        <is>
          <t>9:16</t>
        </is>
      </c>
      <c r="C1423" t="inlineStr">
        <is>
          <t>con and Trisha Cook's new film driveaway</t>
        </is>
      </c>
      <c r="D1423">
        <f>HYPERLINK("https://www.youtube.com/watch?v=MJco9LtT9Vw&amp;t=556s", "Go to time")</f>
        <v/>
      </c>
    </row>
    <row r="1424">
      <c r="A1424">
        <f>HYPERLINK("https://www.youtube.com/watch?v=MJco9LtT9Vw", "Video")</f>
        <v/>
      </c>
      <c r="B1424" t="inlineStr">
        <is>
          <t>9:53</t>
        </is>
      </c>
      <c r="C1424" t="inlineStr">
        <is>
          <t>doab bides make sure to catch driveway</t>
        </is>
      </c>
      <c r="D1424">
        <f>HYPERLINK("https://www.youtube.com/watch?v=MJco9LtT9Vw&amp;t=593s", "Go to time")</f>
        <v/>
      </c>
    </row>
    <row r="1425">
      <c r="A1425">
        <f>HYPERLINK("https://www.youtube.com/watch?v=-wbCBqi-UwA", "Video")</f>
        <v/>
      </c>
      <c r="B1425" t="inlineStr">
        <is>
          <t>3:12</t>
        </is>
      </c>
      <c r="C1425" t="inlineStr">
        <is>
          <t>i'll drive you home</t>
        </is>
      </c>
      <c r="D1425">
        <f>HYPERLINK("https://www.youtube.com/watch?v=-wbCBqi-UwA&amp;t=192s", "Go to time")</f>
        <v/>
      </c>
    </row>
    <row r="1426">
      <c r="A1426">
        <f>HYPERLINK("https://www.youtube.com/watch?v=5ZtBJ0v5daE", "Video")</f>
        <v/>
      </c>
      <c r="B1426" t="inlineStr">
        <is>
          <t>2:12</t>
        </is>
      </c>
      <c r="C1426" t="inlineStr">
        <is>
          <t>hyperdrive and get a message to my</t>
        </is>
      </c>
      <c r="D1426">
        <f>HYPERLINK("https://www.youtube.com/watch?v=5ZtBJ0v5daE&amp;t=132s", "Go to time")</f>
        <v/>
      </c>
    </row>
    <row r="1427">
      <c r="A1427">
        <f>HYPERLINK("https://www.youtube.com/watch?v=WKZQy8DKVVo", "Video")</f>
        <v/>
      </c>
      <c r="B1427" t="inlineStr">
        <is>
          <t>1:32</t>
        </is>
      </c>
      <c r="C1427" t="inlineStr">
        <is>
          <t>can I drive no you cannot</t>
        </is>
      </c>
      <c r="D1427">
        <f>HYPERLINK("https://www.youtube.com/watch?v=WKZQy8DKVVo&amp;t=92s", "Go to time")</f>
        <v/>
      </c>
    </row>
    <row r="1428">
      <c r="A1428">
        <f>HYPERLINK("https://www.youtube.com/watch?v=uFmz3sq8R8E", "Video")</f>
        <v/>
      </c>
      <c r="B1428" t="inlineStr">
        <is>
          <t>0:52</t>
        </is>
      </c>
      <c r="C1428" t="inlineStr">
        <is>
          <t>drivers he grew up in a culture that was</t>
        </is>
      </c>
      <c r="D1428">
        <f>HYPERLINK("https://www.youtube.com/watch?v=uFmz3sq8R8E&amp;t=52s", "Go to time")</f>
        <v/>
      </c>
    </row>
    <row r="1429">
      <c r="A1429">
        <f>HYPERLINK("https://www.youtube.com/watch?v=g9ahmsXHTw4", "Video")</f>
        <v/>
      </c>
      <c r="B1429" t="inlineStr">
        <is>
          <t>2:07</t>
        </is>
      </c>
      <c r="C1429" t="inlineStr">
        <is>
          <t>yeah he's at it again park drive headed</t>
        </is>
      </c>
      <c r="D1429">
        <f>HYPERLINK("https://www.youtube.com/watch?v=g9ahmsXHTw4&amp;t=127s", "Go to time")</f>
        <v/>
      </c>
    </row>
    <row r="1430">
      <c r="A1430">
        <f>HYPERLINK("https://www.youtube.com/watch?v=whTSpUWS-CY", "Video")</f>
        <v/>
      </c>
      <c r="B1430" t="inlineStr">
        <is>
          <t>10:05</t>
        </is>
      </c>
      <c r="C1430" t="inlineStr">
        <is>
          <t>really happens in Mad Max they drive</t>
        </is>
      </c>
      <c r="D1430">
        <f>HYPERLINK("https://www.youtube.com/watch?v=whTSpUWS-CY&amp;t=605s", "Go to time")</f>
        <v/>
      </c>
    </row>
    <row r="1431">
      <c r="A1431">
        <f>HYPERLINK("https://www.youtube.com/watch?v=whTSpUWS-CY", "Video")</f>
        <v/>
      </c>
      <c r="B1431" t="inlineStr">
        <is>
          <t>10:07</t>
        </is>
      </c>
      <c r="C1431" t="inlineStr">
        <is>
          <t>there they drive back you know this</t>
        </is>
      </c>
      <c r="D1431">
        <f>HYPERLINK("https://www.youtube.com/watch?v=whTSpUWS-CY&amp;t=607s", "Go to time")</f>
        <v/>
      </c>
    </row>
    <row r="1432">
      <c r="A1432">
        <f>HYPERLINK("https://www.youtube.com/watch?v=F3yawE_0QaE", "Video")</f>
        <v/>
      </c>
      <c r="B1432" t="inlineStr">
        <is>
          <t>1:46</t>
        </is>
      </c>
      <c r="C1432" t="inlineStr">
        <is>
          <t>frustration Drive like you are your</t>
        </is>
      </c>
      <c r="D1432">
        <f>HYPERLINK("https://www.youtube.com/watch?v=F3yawE_0QaE&amp;t=106s", "Go to time")</f>
        <v/>
      </c>
    </row>
    <row r="1433">
      <c r="A1433">
        <f>HYPERLINK("https://www.youtube.com/watch?v=D26oQjt9y2M", "Video")</f>
        <v/>
      </c>
      <c r="B1433" t="inlineStr">
        <is>
          <t>1:35</t>
        </is>
      </c>
      <c r="C1433" t="inlineStr">
        <is>
          <t>drive ahead of her so she went to bed uh</t>
        </is>
      </c>
      <c r="D1433">
        <f>HYPERLINK("https://www.youtube.com/watch?v=D26oQjt9y2M&amp;t=95s", "Go to time")</f>
        <v/>
      </c>
    </row>
    <row r="1434">
      <c r="A1434">
        <f>HYPERLINK("https://www.youtube.com/watch?v=loiGNXFL390", "Video")</f>
        <v/>
      </c>
      <c r="B1434" t="inlineStr">
        <is>
          <t>0:36</t>
        </is>
      </c>
      <c r="C1434" t="inlineStr">
        <is>
          <t>they drive a Dodge Ram he's lying that's</t>
        </is>
      </c>
      <c r="D1434">
        <f>HYPERLINK("https://www.youtube.com/watch?v=loiGNXFL390&amp;t=36s", "Go to time")</f>
        <v/>
      </c>
    </row>
    <row r="1435">
      <c r="A1435">
        <f>HYPERLINK("https://www.youtube.com/watch?v=Z_oKozOVU4k", "Video")</f>
        <v/>
      </c>
      <c r="B1435" t="inlineStr">
        <is>
          <t>21:10</t>
        </is>
      </c>
      <c r="C1435" t="inlineStr">
        <is>
          <t>talent and create character-driven films</t>
        </is>
      </c>
      <c r="D1435">
        <f>HYPERLINK("https://www.youtube.com/watch?v=Z_oKozOVU4k&amp;t=1270s", "Go to time")</f>
        <v/>
      </c>
    </row>
    <row r="1436">
      <c r="A1436">
        <f>HYPERLINK("https://www.youtube.com/watch?v=j7iGWsPkeHQ", "Video")</f>
        <v/>
      </c>
      <c r="B1436" t="inlineStr">
        <is>
          <t>0:25</t>
        </is>
      </c>
      <c r="C1436" t="inlineStr">
        <is>
          <t>drive yeah</t>
        </is>
      </c>
      <c r="D1436">
        <f>HYPERLINK("https://www.youtube.com/watch?v=j7iGWsPkeHQ&amp;t=25s", "Go to time")</f>
        <v/>
      </c>
    </row>
    <row r="1437">
      <c r="A1437">
        <f>HYPERLINK("https://www.youtube.com/watch?v=j7iGWsPkeHQ", "Video")</f>
        <v/>
      </c>
      <c r="B1437" t="inlineStr">
        <is>
          <t>1:43</t>
        </is>
      </c>
      <c r="C1437" t="inlineStr">
        <is>
          <t>dude Drive come on dude you let him</t>
        </is>
      </c>
      <c r="D1437">
        <f>HYPERLINK("https://www.youtube.com/watch?v=j7iGWsPkeHQ&amp;t=103s", "Go to time")</f>
        <v/>
      </c>
    </row>
    <row r="1438">
      <c r="A1438">
        <f>HYPERLINK("https://www.youtube.com/watch?v=j7iGWsPkeHQ", "Video")</f>
        <v/>
      </c>
      <c r="B1438" t="inlineStr">
        <is>
          <t>1:46</t>
        </is>
      </c>
      <c r="C1438" t="inlineStr">
        <is>
          <t>drive you let him drive the car can I</t>
        </is>
      </c>
      <c r="D1438">
        <f>HYPERLINK("https://www.youtube.com/watch?v=j7iGWsPkeHQ&amp;t=106s", "Go to time")</f>
        <v/>
      </c>
    </row>
    <row r="1439">
      <c r="A1439">
        <f>HYPERLINK("https://www.youtube.com/watch?v=vUiWDDJr4mo", "Video")</f>
        <v/>
      </c>
      <c r="B1439" t="inlineStr">
        <is>
          <t>9:04</t>
        </is>
      </c>
      <c r="C1439" t="inlineStr">
        <is>
          <t>hyperdrive and get a message to my</t>
        </is>
      </c>
      <c r="D1439">
        <f>HYPERLINK("https://www.youtube.com/watch?v=vUiWDDJr4mo&amp;t=544s", "Go to time")</f>
        <v/>
      </c>
    </row>
    <row r="1440">
      <c r="A1440">
        <f>HYPERLINK("https://www.youtube.com/watch?v=YHQjbCstZME", "Video")</f>
        <v/>
      </c>
      <c r="B1440" t="inlineStr">
        <is>
          <t>21:42</t>
        </is>
      </c>
      <c r="C1440" t="inlineStr">
        <is>
          <t>adam drivers charlie a theater director</t>
        </is>
      </c>
      <c r="D1440">
        <f>HYPERLINK("https://www.youtube.com/watch?v=YHQjbCstZME&amp;t=1302s", "Go to time")</f>
        <v/>
      </c>
    </row>
    <row r="1441">
      <c r="A1441">
        <f>HYPERLINK("https://www.youtube.com/watch?v=YHQjbCstZME", "Video")</f>
        <v/>
      </c>
      <c r="B1441" t="inlineStr">
        <is>
          <t>22:56</t>
        </is>
      </c>
      <c r="C1441" t="inlineStr">
        <is>
          <t>actor and actress for driver johansen</t>
        </is>
      </c>
      <c r="D1441">
        <f>HYPERLINK("https://www.youtube.com/watch?v=YHQjbCstZME&amp;t=1376s", "Go to time")</f>
        <v/>
      </c>
    </row>
    <row r="1442">
      <c r="A1442">
        <f>HYPERLINK("https://www.youtube.com/watch?v=cmi_cGmILo0", "Video")</f>
        <v/>
      </c>
      <c r="B1442" t="inlineStr">
        <is>
          <t>42:11</t>
        </is>
      </c>
      <c r="C1442" t="inlineStr">
        <is>
          <t>another one that drives people crazy</t>
        </is>
      </c>
      <c r="D1442">
        <f>HYPERLINK("https://www.youtube.com/watch?v=cmi_cGmILo0&amp;t=2531s", "Go to time")</f>
        <v/>
      </c>
    </row>
    <row r="1443">
      <c r="A1443">
        <f>HYPERLINK("https://www.youtube.com/watch?v=vBAK4o8zHF4", "Video")</f>
        <v/>
      </c>
      <c r="B1443" t="inlineStr">
        <is>
          <t>0:39</t>
        </is>
      </c>
      <c r="C1443" t="inlineStr">
        <is>
          <t>you drive a red 1988 Alfa Romeo good</t>
        </is>
      </c>
      <c r="D1443">
        <f>HYPERLINK("https://www.youtube.com/watch?v=vBAK4o8zHF4&amp;t=39s", "Go to time")</f>
        <v/>
      </c>
    </row>
    <row r="1444">
      <c r="A1444">
        <f>HYPERLINK("https://www.youtube.com/watch?v=vBAK4o8zHF4", "Video")</f>
        <v/>
      </c>
      <c r="B1444" t="inlineStr">
        <is>
          <t>0:43</t>
        </is>
      </c>
      <c r="C1444" t="inlineStr">
        <is>
          <t>engine little under driven I know this</t>
        </is>
      </c>
      <c r="D1444">
        <f>HYPERLINK("https://www.youtube.com/watch?v=vBAK4o8zHF4&amp;t=43s", "Go to time")</f>
        <v/>
      </c>
    </row>
    <row r="1445">
      <c r="A1445">
        <f>HYPERLINK("https://www.youtube.com/watch?v=w4KIYf-Z6S0", "Video")</f>
        <v/>
      </c>
      <c r="B1445" t="inlineStr">
        <is>
          <t>0:39</t>
        </is>
      </c>
      <c r="C1445" t="inlineStr">
        <is>
          <t>this is my room and no one will drive me</t>
        </is>
      </c>
      <c r="D1445">
        <f>HYPERLINK("https://www.youtube.com/watch?v=w4KIYf-Z6S0&amp;t=39s", "Go to time")</f>
        <v/>
      </c>
    </row>
    <row r="1446">
      <c r="A1446">
        <f>HYPERLINK("https://www.youtube.com/watch?v=FG2_Hs9uBaU", "Video")</f>
        <v/>
      </c>
      <c r="B1446" t="inlineStr">
        <is>
          <t>1:08</t>
        </is>
      </c>
      <c r="C1446" t="inlineStr">
        <is>
          <t>them hey man you know how to drive man</t>
        </is>
      </c>
      <c r="D1446">
        <f>HYPERLINK("https://www.youtube.com/watch?v=FG2_Hs9uBaU&amp;t=68s", "Go to time")</f>
        <v/>
      </c>
    </row>
    <row r="1447">
      <c r="A1447">
        <f>HYPERLINK("https://www.youtube.com/watch?v=ECuk_JvrU5Y", "Video")</f>
        <v/>
      </c>
      <c r="B1447" t="inlineStr">
        <is>
          <t>10:04</t>
        </is>
      </c>
      <c r="C1447" t="inlineStr">
        <is>
          <t>get just drive just drive just</t>
        </is>
      </c>
      <c r="D1447">
        <f>HYPERLINK("https://www.youtube.com/watch?v=ECuk_JvrU5Y&amp;t=604s", "Go to time")</f>
        <v/>
      </c>
    </row>
    <row r="1448">
      <c r="A1448">
        <f>HYPERLINK("https://www.youtube.com/watch?v=ECuk_JvrU5Y", "Video")</f>
        <v/>
      </c>
      <c r="B1448" t="inlineStr">
        <is>
          <t>10:24</t>
        </is>
      </c>
      <c r="C1448" t="inlineStr">
        <is>
          <t>drive just d</t>
        </is>
      </c>
      <c r="D1448">
        <f>HYPERLINK("https://www.youtube.com/watch?v=ECuk_JvrU5Y&amp;t=624s", "Go to time")</f>
        <v/>
      </c>
    </row>
    <row r="1449">
      <c r="A1449">
        <f>HYPERLINK("https://www.youtube.com/watch?v=qWyxg1GFVDU", "Video")</f>
        <v/>
      </c>
      <c r="B1449" t="inlineStr">
        <is>
          <t>0:01</t>
        </is>
      </c>
      <c r="C1449" t="inlineStr">
        <is>
          <t>you drive</t>
        </is>
      </c>
      <c r="D1449">
        <f>HYPERLINK("https://www.youtube.com/watch?v=qWyxg1GFVDU&amp;t=1s", "Go to time")</f>
        <v/>
      </c>
    </row>
    <row r="1450">
      <c r="A1450">
        <f>HYPERLINK("https://www.youtube.com/watch?v=IGCh3fn60jc", "Video")</f>
        <v/>
      </c>
      <c r="B1450" t="inlineStr">
        <is>
          <t>1:29</t>
        </is>
      </c>
      <c r="C1450" t="inlineStr">
        <is>
          <t>and drives home without me then it's my</t>
        </is>
      </c>
      <c r="D1450">
        <f>HYPERLINK("https://www.youtube.com/watch?v=IGCh3fn60jc&amp;t=89s", "Go to time")</f>
        <v/>
      </c>
    </row>
    <row r="1451">
      <c r="A1451">
        <f>HYPERLINK("https://www.youtube.com/watch?v=CYWwwD2JzeI", "Video")</f>
        <v/>
      </c>
      <c r="B1451" t="inlineStr">
        <is>
          <t>2:06</t>
        </is>
      </c>
      <c r="C1451" t="inlineStr">
        <is>
          <t>boyfriend here he drives he also</t>
        </is>
      </c>
      <c r="D1451">
        <f>HYPERLINK("https://www.youtube.com/watch?v=CYWwwD2JzeI&amp;t=126s", "Go to time")</f>
        <v/>
      </c>
    </row>
    <row r="1452">
      <c r="A1452">
        <f>HYPERLINK("https://www.youtube.com/watch?v=FsUq7WgVc8E", "Video")</f>
        <v/>
      </c>
      <c r="B1452" t="inlineStr">
        <is>
          <t>6:52</t>
        </is>
      </c>
      <c r="C1452" t="inlineStr">
        <is>
          <t>drive okay</t>
        </is>
      </c>
      <c r="D1452">
        <f>HYPERLINK("https://www.youtube.com/watch?v=FsUq7WgVc8E&amp;t=412s", "Go to time")</f>
        <v/>
      </c>
    </row>
    <row r="1453">
      <c r="A1453">
        <f>HYPERLINK("https://www.youtube.com/watch?v=FsUq7WgVc8E", "Video")</f>
        <v/>
      </c>
      <c r="B1453" t="inlineStr">
        <is>
          <t>8:11</t>
        </is>
      </c>
      <c r="C1453" t="inlineStr">
        <is>
          <t>now that's how you supposed to drive</t>
        </is>
      </c>
      <c r="D1453">
        <f>HYPERLINK("https://www.youtube.com/watch?v=FsUq7WgVc8E&amp;t=491s", "Go to time")</f>
        <v/>
      </c>
    </row>
    <row r="1454">
      <c r="A1454">
        <f>HYPERLINK("https://www.youtube.com/watch?v=FsUq7WgVc8E", "Video")</f>
        <v/>
      </c>
      <c r="B1454" t="inlineStr">
        <is>
          <t>8:21</t>
        </is>
      </c>
      <c r="C1454" t="inlineStr">
        <is>
          <t>drive who that who in my house I'm the</t>
        </is>
      </c>
      <c r="D1454">
        <f>HYPERLINK("https://www.youtube.com/watch?v=FsUq7WgVc8E&amp;t=501s", "Go to time")</f>
        <v/>
      </c>
    </row>
    <row r="1455">
      <c r="A1455">
        <f>HYPERLINK("https://www.youtube.com/watch?v=IWuIntFf4uk", "Video")</f>
        <v/>
      </c>
      <c r="B1455" t="inlineStr">
        <is>
          <t>33:49</t>
        </is>
      </c>
      <c r="C1455" t="inlineStr">
        <is>
          <t>cab drivers and Tech guys but he was</t>
        </is>
      </c>
      <c r="D1455">
        <f>HYPERLINK("https://www.youtube.com/watch?v=IWuIntFf4uk&amp;t=2029s", "Go to time")</f>
        <v/>
      </c>
    </row>
    <row r="1456">
      <c r="A1456">
        <f>HYPERLINK("https://www.youtube.com/watch?v=1-pMclN0WOw", "Video")</f>
        <v/>
      </c>
      <c r="B1456" t="inlineStr">
        <is>
          <t>22:10</t>
        </is>
      </c>
      <c r="C1456" t="inlineStr">
        <is>
          <t>Driver I hadn't seen girls when I cast</t>
        </is>
      </c>
      <c r="D1456">
        <f>HYPERLINK("https://www.youtube.com/watch?v=1-pMclN0WOw&amp;t=1330s", "Go to time")</f>
        <v/>
      </c>
    </row>
    <row r="1457">
      <c r="A1457">
        <f>HYPERLINK("https://www.youtube.com/watch?v=1-pMclN0WOw", "Video")</f>
        <v/>
      </c>
      <c r="B1457" t="inlineStr">
        <is>
          <t>22:16</t>
        </is>
      </c>
      <c r="C1457" t="inlineStr">
        <is>
          <t>Driver I like ah okay and you know now</t>
        </is>
      </c>
      <c r="D1457">
        <f>HYPERLINK("https://www.youtube.com/watch?v=1-pMclN0WOw&amp;t=1336s", "Go to time")</f>
        <v/>
      </c>
    </row>
    <row r="1458">
      <c r="A1458">
        <f>HYPERLINK("https://www.youtube.com/watch?v=DYBqhR_0wiw", "Video")</f>
        <v/>
      </c>
      <c r="B1458" t="inlineStr">
        <is>
          <t>3:57</t>
        </is>
      </c>
      <c r="C1458" t="inlineStr">
        <is>
          <t>and it's once again driven by a</t>
        </is>
      </c>
      <c r="D1458">
        <f>HYPERLINK("https://www.youtube.com/watch?v=DYBqhR_0wiw&amp;t=237s", "Go to time")</f>
        <v/>
      </c>
    </row>
    <row r="1459">
      <c r="A1459">
        <f>HYPERLINK("https://www.youtube.com/watch?v=DYBqhR_0wiw", "Video")</f>
        <v/>
      </c>
      <c r="B1459" t="inlineStr">
        <is>
          <t>7:04</t>
        </is>
      </c>
      <c r="C1459" t="inlineStr">
        <is>
          <t>and high performance driver but him and</t>
        </is>
      </c>
      <c r="D1459">
        <f>HYPERLINK("https://www.youtube.com/watch?v=DYBqhR_0wiw&amp;t=424s", "Go to time")</f>
        <v/>
      </c>
    </row>
    <row r="1460">
      <c r="A1460">
        <f>HYPERLINK("https://www.youtube.com/watch?v=fE0UcZb7i0o", "Video")</f>
        <v/>
      </c>
      <c r="B1460" t="inlineStr">
        <is>
          <t>0:50</t>
        </is>
      </c>
      <c r="C1460" t="inlineStr">
        <is>
          <t>then when I drive it around people can</t>
        </is>
      </c>
      <c r="D1460">
        <f>HYPERLINK("https://www.youtube.com/watch?v=fE0UcZb7i0o&amp;t=50s", "Go to time")</f>
        <v/>
      </c>
    </row>
    <row r="1461">
      <c r="A1461">
        <f>HYPERLINK("https://www.youtube.com/watch?v=mE3VS4t4lrQ", "Video")</f>
        <v/>
      </c>
      <c r="B1461" t="inlineStr">
        <is>
          <t>1:41</t>
        </is>
      </c>
      <c r="C1461" t="inlineStr">
        <is>
          <t>look I may be only the driver but I'm at</t>
        </is>
      </c>
      <c r="D1461">
        <f>HYPERLINK("https://www.youtube.com/watch?v=mE3VS4t4lrQ&amp;t=101s", "Go to time")</f>
        <v/>
      </c>
    </row>
    <row r="1462">
      <c r="A1462">
        <f>HYPERLINK("https://www.youtube.com/watch?v=YSxPi1MdhI4", "Video")</f>
        <v/>
      </c>
      <c r="B1462" t="inlineStr">
        <is>
          <t>1:32</t>
        </is>
      </c>
      <c r="C1462" t="inlineStr">
        <is>
          <t>when you drive like this you're supposed</t>
        </is>
      </c>
      <c r="D1462">
        <f>HYPERLINK("https://www.youtube.com/watch?v=YSxPi1MdhI4&amp;t=92s", "Go to time")</f>
        <v/>
      </c>
    </row>
    <row r="1463">
      <c r="A1463">
        <f>HYPERLINK("https://www.youtube.com/watch?v=OffbNtFBDv0", "Video")</f>
        <v/>
      </c>
      <c r="B1463" t="inlineStr">
        <is>
          <t>1:41</t>
        </is>
      </c>
      <c r="C1463" t="inlineStr">
        <is>
          <t>i' never test drive the vehicles what is</t>
        </is>
      </c>
      <c r="D1463">
        <f>HYPERLINK("https://www.youtube.com/watch?v=OffbNtFBDv0&amp;t=101s", "Go to time")</f>
        <v/>
      </c>
    </row>
    <row r="1464">
      <c r="A1464">
        <f>HYPERLINK("https://www.youtube.com/watch?v=OffbNtFBDv0", "Video")</f>
        <v/>
      </c>
      <c r="B1464" t="inlineStr">
        <is>
          <t>1:47</t>
        </is>
      </c>
      <c r="C1464" t="inlineStr">
        <is>
          <t>you have to test drive the vehicle</t>
        </is>
      </c>
      <c r="D1464">
        <f>HYPERLINK("https://www.youtube.com/watch?v=OffbNtFBDv0&amp;t=107s", "Go to time")</f>
        <v/>
      </c>
    </row>
    <row r="1465">
      <c r="A1465">
        <f>HYPERLINK("https://www.youtube.com/watch?v=hGZgzO84OGk", "Video")</f>
        <v/>
      </c>
      <c r="B1465" t="inlineStr">
        <is>
          <t>0:20</t>
        </is>
      </c>
      <c r="C1465" t="inlineStr">
        <is>
          <t>can I want to be a producer and drive</t>
        </is>
      </c>
      <c r="D1465">
        <f>HYPERLINK("https://www.youtube.com/watch?v=hGZgzO84OGk&amp;t=20s", "Go to time")</f>
        <v/>
      </c>
    </row>
    <row r="1466">
      <c r="A1466">
        <f>HYPERLINK("https://www.youtube.com/watch?v=agcUUHc2iAw", "Video")</f>
        <v/>
      </c>
      <c r="B1466" t="inlineStr">
        <is>
          <t>5:36</t>
        </is>
      </c>
      <c r="C1466" t="inlineStr">
        <is>
          <t>drop Mulholland Drive</t>
        </is>
      </c>
      <c r="D1466">
        <f>HYPERLINK("https://www.youtube.com/watch?v=agcUUHc2iAw&amp;t=336s", "Go to time")</f>
        <v/>
      </c>
    </row>
    <row r="1467">
      <c r="A1467">
        <f>HYPERLINK("https://www.youtube.com/watch?v=agcUUHc2iAw", "Video")</f>
        <v/>
      </c>
      <c r="B1467" t="inlineStr">
        <is>
          <t>6:03</t>
        </is>
      </c>
      <c r="C1467" t="inlineStr">
        <is>
          <t>2001's Mulholland Drive this</t>
        </is>
      </c>
      <c r="D1467">
        <f>HYPERLINK("https://www.youtube.com/watch?v=agcUUHc2iAw&amp;t=363s", "Go to time")</f>
        <v/>
      </c>
    </row>
    <row r="1468">
      <c r="A1468">
        <f>HYPERLINK("https://www.youtube.com/watch?v=agcUUHc2iAw", "Video")</f>
        <v/>
      </c>
      <c r="B1468" t="inlineStr">
        <is>
          <t>6:18</t>
        </is>
      </c>
      <c r="C1468" t="inlineStr">
        <is>
          <t>on the windy Mulholland Drive develops</t>
        </is>
      </c>
      <c r="D1468">
        <f>HYPERLINK("https://www.youtube.com/watch?v=agcUUHc2iAw&amp;t=378s", "Go to time")</f>
        <v/>
      </c>
    </row>
    <row r="1469">
      <c r="A1469">
        <f>HYPERLINK("https://www.youtube.com/watch?v=agcUUHc2iAw", "Video")</f>
        <v/>
      </c>
      <c r="B1469" t="inlineStr">
        <is>
          <t>6:44</t>
        </is>
      </c>
      <c r="C1469" t="inlineStr">
        <is>
          <t>actual Mulholland Drive and is said he</t>
        </is>
      </c>
      <c r="D1469">
        <f>HYPERLINK("https://www.youtube.com/watch?v=agcUUHc2iAw&amp;t=404s", "Go to time")</f>
        <v/>
      </c>
    </row>
    <row r="1470">
      <c r="A1470">
        <f>HYPERLINK("https://www.youtube.com/watch?v=agcUUHc2iAw", "Video")</f>
        <v/>
      </c>
      <c r="B1470" t="inlineStr">
        <is>
          <t>7:20</t>
        </is>
      </c>
      <c r="C1470" t="inlineStr">
        <is>
          <t>Mulholland Drive was originally</t>
        </is>
      </c>
      <c r="D1470">
        <f>HYPERLINK("https://www.youtube.com/watch?v=agcUUHc2iAw&amp;t=440s", "Go to time")</f>
        <v/>
      </c>
    </row>
    <row r="1471">
      <c r="A1471">
        <f>HYPERLINK("https://www.youtube.com/watch?v=GeGlXObjec8", "Video")</f>
        <v/>
      </c>
      <c r="B1471" t="inlineStr">
        <is>
          <t>0:32</t>
        </is>
      </c>
      <c r="C1471" t="inlineStr">
        <is>
          <t>I'll drive you home</t>
        </is>
      </c>
      <c r="D1471">
        <f>HYPERLINK("https://www.youtube.com/watch?v=GeGlXObjec8&amp;t=32s", "Go to time")</f>
        <v/>
      </c>
    </row>
    <row r="1472">
      <c r="A1472">
        <f>HYPERLINK("https://www.youtube.com/watch?v=y2kPYZBqpuw", "Video")</f>
        <v/>
      </c>
      <c r="B1472" t="inlineStr">
        <is>
          <t>0:46</t>
        </is>
      </c>
      <c r="C1472" t="inlineStr">
        <is>
          <t>you were just going to drive off in my</t>
        </is>
      </c>
      <c r="D1472">
        <f>HYPERLINK("https://www.youtube.com/watch?v=y2kPYZBqpuw&amp;t=46s", "Go to time")</f>
        <v/>
      </c>
    </row>
    <row r="1473">
      <c r="A1473">
        <f>HYPERLINK("https://www.youtube.com/watch?v=qnvFsViH7ss", "Video")</f>
        <v/>
      </c>
      <c r="B1473" t="inlineStr">
        <is>
          <t>3:40</t>
        </is>
      </c>
      <c r="C1473" t="inlineStr">
        <is>
          <t>I'll drive you back</t>
        </is>
      </c>
      <c r="D1473">
        <f>HYPERLINK("https://www.youtube.com/watch?v=qnvFsViH7ss&amp;t=220s", "Go to time")</f>
        <v/>
      </c>
    </row>
    <row r="1474">
      <c r="A1474">
        <f>HYPERLINK("https://www.youtube.com/watch?v=fM47xKHZl8M", "Video")</f>
        <v/>
      </c>
      <c r="B1474" t="inlineStr">
        <is>
          <t>1:05</t>
        </is>
      </c>
      <c r="C1474" t="inlineStr">
        <is>
          <t>get in the car I'm going to drive all</t>
        </is>
      </c>
      <c r="D1474">
        <f>HYPERLINK("https://www.youtube.com/watch?v=fM47xKHZl8M&amp;t=65s", "Go to time")</f>
        <v/>
      </c>
    </row>
    <row r="1475">
      <c r="A1475">
        <f>HYPERLINK("https://www.youtube.com/watch?v=HKyswzGF4jo", "Video")</f>
        <v/>
      </c>
      <c r="B1475" t="inlineStr">
        <is>
          <t>3:42</t>
        </is>
      </c>
      <c r="C1475" t="inlineStr">
        <is>
          <t>to drive into it again n Ben it's</t>
        </is>
      </c>
      <c r="D1475">
        <f>HYPERLINK("https://www.youtube.com/watch?v=HKyswzGF4jo&amp;t=222s", "Go to time")</f>
        <v/>
      </c>
    </row>
    <row r="1476">
      <c r="A1476">
        <f>HYPERLINK("https://www.youtube.com/watch?v=y_BpEtiHrVQ", "Video")</f>
        <v/>
      </c>
      <c r="B1476" t="inlineStr">
        <is>
          <t>2:28</t>
        </is>
      </c>
      <c r="C1476" t="inlineStr">
        <is>
          <t>to pick up my sister and i and drive us</t>
        </is>
      </c>
      <c r="D1476">
        <f>HYPERLINK("https://www.youtube.com/watch?v=y_BpEtiHrVQ&amp;t=148s", "Go to time")</f>
        <v/>
      </c>
    </row>
    <row r="1477">
      <c r="A1477">
        <f>HYPERLINK("https://www.youtube.com/watch?v=kim-p8Eaetw", "Video")</f>
        <v/>
      </c>
      <c r="B1477" t="inlineStr">
        <is>
          <t>40:30</t>
        </is>
      </c>
      <c r="C1477" t="inlineStr">
        <is>
          <t>and he's got his hard drive that has the</t>
        </is>
      </c>
      <c r="D1477">
        <f>HYPERLINK("https://www.youtube.com/watch?v=kim-p8Eaetw&amp;t=2430s", "Go to time")</f>
        <v/>
      </c>
    </row>
    <row r="1478">
      <c r="A1478">
        <f>HYPERLINK("https://www.youtube.com/watch?v=SFpQ6iDm6Nk", "Video")</f>
        <v/>
      </c>
      <c r="B1478" t="inlineStr">
        <is>
          <t>6:51</t>
        </is>
      </c>
      <c r="C1478" t="inlineStr">
        <is>
          <t>drive so get in kids it's time to go</t>
        </is>
      </c>
      <c r="D1478">
        <f>HYPERLINK("https://www.youtube.com/watch?v=SFpQ6iDm6Nk&amp;t=411s", "Go to time")</f>
        <v/>
      </c>
    </row>
    <row r="1479">
      <c r="A1479">
        <f>HYPERLINK("https://www.youtube.com/watch?v=zUgDbgBIb5U", "Video")</f>
        <v/>
      </c>
      <c r="B1479" t="inlineStr">
        <is>
          <t>21:07</t>
        </is>
      </c>
      <c r="C1479" t="inlineStr">
        <is>
          <t>similar Ensemble cash driven hit Lock</t>
        </is>
      </c>
      <c r="D1479">
        <f>HYPERLINK("https://www.youtube.com/watch?v=zUgDbgBIb5U&amp;t=1267s", "Go to time")</f>
        <v/>
      </c>
    </row>
    <row r="1480">
      <c r="A1480">
        <f>HYPERLINK("https://www.youtube.com/watch?v=zUgDbgBIb5U", "Video")</f>
        <v/>
      </c>
      <c r="B1480" t="inlineStr">
        <is>
          <t>22:20</t>
        </is>
      </c>
      <c r="C1480" t="inlineStr">
        <is>
          <t>drive it to Chicago I shoot you not</t>
        </is>
      </c>
      <c r="D1480">
        <f>HYPERLINK("https://www.youtube.com/watch?v=zUgDbgBIb5U&amp;t=1340s", "Go to time")</f>
        <v/>
      </c>
    </row>
    <row r="1481">
      <c r="A1481">
        <f>HYPERLINK("https://www.youtube.com/watch?v=t0a3afuZ1DU", "Video")</f>
        <v/>
      </c>
      <c r="B1481" t="inlineStr">
        <is>
          <t>1:20</t>
        </is>
      </c>
      <c r="C1481" t="inlineStr">
        <is>
          <t>which drives a piston and the connecting</t>
        </is>
      </c>
      <c r="D1481">
        <f>HYPERLINK("https://www.youtube.com/watch?v=t0a3afuZ1DU&amp;t=80s", "Go to time")</f>
        <v/>
      </c>
    </row>
    <row r="1482">
      <c r="A1482">
        <f>HYPERLINK("https://www.youtube.com/watch?v=t0a3afuZ1DU", "Video")</f>
        <v/>
      </c>
      <c r="B1482" t="inlineStr">
        <is>
          <t>1:22</t>
        </is>
      </c>
      <c r="C1482" t="inlineStr">
        <is>
          <t>rods and the drive shaft where did you</t>
        </is>
      </c>
      <c r="D1482">
        <f>HYPERLINK("https://www.youtube.com/watch?v=t0a3afuZ1DU&amp;t=82s", "Go to time")</f>
        <v/>
      </c>
    </row>
    <row r="1483">
      <c r="A1483">
        <f>HYPERLINK("https://www.youtube.com/watch?v=8Ya09VreIQQ", "Video")</f>
        <v/>
      </c>
      <c r="B1483" t="inlineStr">
        <is>
          <t>0:35</t>
        </is>
      </c>
      <c r="C1483" t="inlineStr">
        <is>
          <t>drive</t>
        </is>
      </c>
      <c r="D1483">
        <f>HYPERLINK("https://www.youtube.com/watch?v=8Ya09VreIQQ&amp;t=35s", "Go to time")</f>
        <v/>
      </c>
    </row>
    <row r="1484">
      <c r="A1484">
        <f>HYPERLINK("https://www.youtube.com/watch?v=kSpGrF3nHeE", "Video")</f>
        <v/>
      </c>
      <c r="B1484" t="inlineStr">
        <is>
          <t>2:12</t>
        </is>
      </c>
      <c r="C1484" t="inlineStr">
        <is>
          <t>one more question I'll drive you back</t>
        </is>
      </c>
      <c r="D1484">
        <f>HYPERLINK("https://www.youtube.com/watch?v=kSpGrF3nHeE&amp;t=132s", "Go to time")</f>
        <v/>
      </c>
    </row>
    <row r="1485">
      <c r="A1485">
        <f>HYPERLINK("https://www.youtube.com/watch?v=zQO3q1lSZ4k", "Video")</f>
        <v/>
      </c>
      <c r="B1485" t="inlineStr">
        <is>
          <t>45:07</t>
        </is>
      </c>
      <c r="C1485" t="inlineStr">
        <is>
          <t>bank and who was going to drive the car</t>
        </is>
      </c>
      <c r="D1485">
        <f>HYPERLINK("https://www.youtube.com/watch?v=zQO3q1lSZ4k&amp;t=2707s", "Go to time")</f>
        <v/>
      </c>
    </row>
    <row r="1486">
      <c r="A1486">
        <f>HYPERLINK("https://www.youtube.com/watch?v=L91dx9ovcz8", "Video")</f>
        <v/>
      </c>
      <c r="B1486" t="inlineStr">
        <is>
          <t>0:08</t>
        </is>
      </c>
      <c r="C1486" t="inlineStr">
        <is>
          <t>of all you just drive out of our way</t>
        </is>
      </c>
      <c r="D1486">
        <f>HYPERLINK("https://www.youtube.com/watch?v=L91dx9ovcz8&amp;t=8s", "Go to time")</f>
        <v/>
      </c>
    </row>
    <row r="1487">
      <c r="A1487">
        <f>HYPERLINK("https://www.youtube.com/watch?v=YKYDg5upGFQ", "Video")</f>
        <v/>
      </c>
      <c r="B1487" t="inlineStr">
        <is>
          <t>1:19</t>
        </is>
      </c>
      <c r="C1487" t="inlineStr">
        <is>
          <t>punch driver punch not just arm whole</t>
        </is>
      </c>
      <c r="D1487">
        <f>HYPERLINK("https://www.youtube.com/watch?v=YKYDg5upGFQ&amp;t=79s", "Go to time")</f>
        <v/>
      </c>
    </row>
    <row r="1488">
      <c r="A1488">
        <f>HYPERLINK("https://www.youtube.com/watch?v=YKYDg5upGFQ", "Video")</f>
        <v/>
      </c>
      <c r="B1488" t="inlineStr">
        <is>
          <t>1:23</t>
        </is>
      </c>
      <c r="C1488" t="inlineStr">
        <is>
          <t>keep leg driver punch</t>
        </is>
      </c>
      <c r="D1488">
        <f>HYPERLINK("https://www.youtube.com/watch?v=YKYDg5upGFQ&amp;t=83s", "Go to time")</f>
        <v/>
      </c>
    </row>
    <row r="1489">
      <c r="A1489">
        <f>HYPERLINK("https://www.youtube.com/watch?v=sQtUnHa4wDs", "Video")</f>
        <v/>
      </c>
      <c r="B1489" t="inlineStr">
        <is>
          <t>29:22</t>
        </is>
      </c>
      <c r="C1489" t="inlineStr">
        <is>
          <t>drivers now is your chance to turn</t>
        </is>
      </c>
      <c r="D1489">
        <f>HYPERLINK("https://www.youtube.com/watch?v=sQtUnHa4wDs&amp;t=1762s", "Go to time")</f>
        <v/>
      </c>
    </row>
    <row r="1490">
      <c r="A1490">
        <f>HYPERLINK("https://www.youtube.com/watch?v=sQtUnHa4wDs", "Video")</f>
        <v/>
      </c>
      <c r="B1490" t="inlineStr">
        <is>
          <t>30:39</t>
        </is>
      </c>
      <c r="C1490" t="inlineStr">
        <is>
          <t>other driver on the track just another</t>
        </is>
      </c>
      <c r="D1490">
        <f>HYPERLINK("https://www.youtube.com/watch?v=sQtUnHa4wDs&amp;t=1839s", "Go to time")</f>
        <v/>
      </c>
    </row>
    <row r="1491">
      <c r="A1491">
        <f>HYPERLINK("https://www.youtube.com/watch?v=sQtUnHa4wDs", "Video")</f>
        <v/>
      </c>
      <c r="B1491" t="inlineStr">
        <is>
          <t>31:04</t>
        </is>
      </c>
      <c r="C1491" t="inlineStr">
        <is>
          <t>no way I would evaluate race car drivers</t>
        </is>
      </c>
      <c r="D1491">
        <f>HYPERLINK("https://www.youtube.com/watch?v=sQtUnHa4wDs&amp;t=1864s", "Go to time")</f>
        <v/>
      </c>
    </row>
    <row r="1492">
      <c r="A1492">
        <f>HYPERLINK("https://www.youtube.com/watch?v=U0gTQwx2y-Q", "Video")</f>
        <v/>
      </c>
      <c r="B1492" t="inlineStr">
        <is>
          <t>0:39</t>
        </is>
      </c>
      <c r="C1492" t="inlineStr">
        <is>
          <t>Master bats vampires a state driven</t>
        </is>
      </c>
      <c r="D1492">
        <f>HYPERLINK("https://www.youtube.com/watch?v=U0gTQwx2y-Q&amp;t=39s", "Go to time")</f>
        <v/>
      </c>
    </row>
    <row r="1493">
      <c r="A1493">
        <f>HYPERLINK("https://www.youtube.com/watch?v=P_BnTgfL7qs", "Video")</f>
        <v/>
      </c>
      <c r="B1493" t="inlineStr">
        <is>
          <t>1:28</t>
        </is>
      </c>
      <c r="C1493" t="inlineStr">
        <is>
          <t>there is no shortage of female-driven</t>
        </is>
      </c>
      <c r="D1493">
        <f>HYPERLINK("https://www.youtube.com/watch?v=P_BnTgfL7qs&amp;t=88s", "Go to time")</f>
        <v/>
      </c>
    </row>
    <row r="1494">
      <c r="A1494">
        <f>HYPERLINK("https://www.youtube.com/watch?v=P_BnTgfL7qs", "Video")</f>
        <v/>
      </c>
      <c r="B1494" t="inlineStr">
        <is>
          <t>17:53</t>
        </is>
      </c>
      <c r="C1494" t="inlineStr">
        <is>
          <t>wang stated that she had been driven by</t>
        </is>
      </c>
      <c r="D1494">
        <f>HYPERLINK("https://www.youtube.com/watch?v=P_BnTgfL7qs&amp;t=1073s", "Go to time")</f>
        <v/>
      </c>
    </row>
    <row r="1495">
      <c r="A1495">
        <f>HYPERLINK("https://www.youtube.com/watch?v=Ac1sZlCGLjQ", "Video")</f>
        <v/>
      </c>
      <c r="B1495" t="inlineStr">
        <is>
          <t>1:21</t>
        </is>
      </c>
      <c r="C1495" t="inlineStr">
        <is>
          <t>you know seeing you drive this thing is</t>
        </is>
      </c>
      <c r="D1495">
        <f>HYPERLINK("https://www.youtube.com/watch?v=Ac1sZlCGLjQ&amp;t=81s", "Go to time")</f>
        <v/>
      </c>
    </row>
    <row r="1496">
      <c r="A1496">
        <f>HYPERLINK("https://www.youtube.com/watch?v=Ac1sZlCGLjQ", "Video")</f>
        <v/>
      </c>
      <c r="B1496" t="inlineStr">
        <is>
          <t>1:41</t>
        </is>
      </c>
      <c r="C1496" t="inlineStr">
        <is>
          <t>to drive like that</t>
        </is>
      </c>
      <c r="D1496">
        <f>HYPERLINK("https://www.youtube.com/watch?v=Ac1sZlCGLjQ&amp;t=101s", "Go to time")</f>
        <v/>
      </c>
    </row>
    <row r="1497">
      <c r="A1497">
        <f>HYPERLINK("https://www.youtube.com/watch?v=9058GOR-xY8", "Video")</f>
        <v/>
      </c>
      <c r="B1497" t="inlineStr">
        <is>
          <t>0:43</t>
        </is>
      </c>
      <c r="C1497" t="inlineStr">
        <is>
          <t>drive out the gate then to avoid the</t>
        </is>
      </c>
      <c r="D1497">
        <f>HYPERLINK("https://www.youtube.com/watch?v=9058GOR-xY8&amp;t=43s", "Go to time")</f>
        <v/>
      </c>
    </row>
    <row r="1498">
      <c r="A1498">
        <f>HYPERLINK("https://www.youtube.com/watch?v=OVvT_vuT81Y", "Video")</f>
        <v/>
      </c>
      <c r="B1498" t="inlineStr">
        <is>
          <t>1:37</t>
        </is>
      </c>
      <c r="C1498" t="inlineStr">
        <is>
          <t>Drive</t>
        </is>
      </c>
      <c r="D1498">
        <f>HYPERLINK("https://www.youtube.com/watch?v=OVvT_vuT81Y&amp;t=97s", "Go to time")</f>
        <v/>
      </c>
    </row>
    <row r="1499">
      <c r="A1499">
        <f>HYPERLINK("https://www.youtube.com/watch?v=GOYpqqTsO-k", "Video")</f>
        <v/>
      </c>
      <c r="B1499" t="inlineStr">
        <is>
          <t>2:11</t>
        </is>
      </c>
      <c r="C1499" t="inlineStr">
        <is>
          <t>along and shouting drives me insane I</t>
        </is>
      </c>
      <c r="D1499">
        <f>HYPERLINK("https://www.youtube.com/watch?v=GOYpqqTsO-k&amp;t=131s", "Go to time")</f>
        <v/>
      </c>
    </row>
    <row r="1500">
      <c r="A1500">
        <f>HYPERLINK("https://www.youtube.com/watch?v=yaqDoG3X_xc", "Video")</f>
        <v/>
      </c>
      <c r="B1500" t="inlineStr">
        <is>
          <t>12:04</t>
        </is>
      </c>
      <c r="C1500" t="inlineStr">
        <is>
          <t>has been driven mad by his pursuit of a</t>
        </is>
      </c>
      <c r="D1500">
        <f>HYPERLINK("https://www.youtube.com/watch?v=yaqDoG3X_xc&amp;t=724s", "Go to time")</f>
        <v/>
      </c>
    </row>
    <row r="1501">
      <c r="A1501">
        <f>HYPERLINK("https://www.youtube.com/watch?v=wkTYaxevAm8", "Video")</f>
        <v/>
      </c>
      <c r="B1501" t="inlineStr">
        <is>
          <t>1:06</t>
        </is>
      </c>
      <c r="C1501" t="inlineStr">
        <is>
          <t>saw the driver's side</t>
        </is>
      </c>
      <c r="D1501">
        <f>HYPERLINK("https://www.youtube.com/watch?v=wkTYaxevAm8&amp;t=66s", "Go to time")</f>
        <v/>
      </c>
    </row>
    <row r="1502">
      <c r="A1502">
        <f>HYPERLINK("https://www.youtube.com/watch?v=1OtWlFfef2w", "Video")</f>
        <v/>
      </c>
      <c r="B1502" t="inlineStr">
        <is>
          <t>0:58</t>
        </is>
      </c>
      <c r="C1502" t="inlineStr">
        <is>
          <t>get out here man you know how to drive</t>
        </is>
      </c>
      <c r="D1502">
        <f>HYPERLINK("https://www.youtube.com/watch?v=1OtWlFfef2w&amp;t=58s", "Go to time")</f>
        <v/>
      </c>
    </row>
    <row r="1503">
      <c r="A1503">
        <f>HYPERLINK("https://www.youtube.com/watch?v=1OtWlFfef2w", "Video")</f>
        <v/>
      </c>
      <c r="B1503" t="inlineStr">
        <is>
          <t>1:02</t>
        </is>
      </c>
      <c r="C1503" t="inlineStr">
        <is>
          <t>don't have a driver's license oh</t>
        </is>
      </c>
      <c r="D1503">
        <f>HYPERLINK("https://www.youtube.com/watch?v=1OtWlFfef2w&amp;t=62s", "Go to time")</f>
        <v/>
      </c>
    </row>
    <row r="1504">
      <c r="A1504">
        <f>HYPERLINK("https://www.youtube.com/watch?v=eeoTVXNshoQ", "Video")</f>
        <v/>
      </c>
      <c r="B1504" t="inlineStr">
        <is>
          <t>22:56</t>
        </is>
      </c>
      <c r="C1504" t="inlineStr">
        <is>
          <t>that drives that honor and respect</t>
        </is>
      </c>
      <c r="D1504">
        <f>HYPERLINK("https://www.youtube.com/watch?v=eeoTVXNshoQ&amp;t=1376s", "Go to time")</f>
        <v/>
      </c>
    </row>
    <row r="1505">
      <c r="A1505">
        <f>HYPERLINK("https://www.youtube.com/watch?v=d865rAHKQOM", "Video")</f>
        <v/>
      </c>
      <c r="B1505" t="inlineStr">
        <is>
          <t>0:31</t>
        </is>
      </c>
      <c r="C1505" t="inlineStr">
        <is>
          <t>you drive you know this is what if Sam</t>
        </is>
      </c>
      <c r="D1505">
        <f>HYPERLINK("https://www.youtube.com/watch?v=d865rAHKQOM&amp;t=31s", "Go to time")</f>
        <v/>
      </c>
    </row>
    <row r="1506">
      <c r="A1506">
        <f>HYPERLINK("https://www.youtube.com/watch?v=d865rAHKQOM", "Video")</f>
        <v/>
      </c>
      <c r="B1506" t="inlineStr">
        <is>
          <t>0:44</t>
        </is>
      </c>
      <c r="C1506" t="inlineStr">
        <is>
          <t>okay you're headed towards the driver's</t>
        </is>
      </c>
      <c r="D1506">
        <f>HYPERLINK("https://www.youtube.com/watch?v=d865rAHKQOM&amp;t=44s", "Go to time")</f>
        <v/>
      </c>
    </row>
    <row r="1507">
      <c r="A1507">
        <f>HYPERLINK("https://www.youtube.com/watch?v=yyPkV_leKEY", "Video")</f>
        <v/>
      </c>
      <c r="B1507" t="inlineStr">
        <is>
          <t>1:19</t>
        </is>
      </c>
      <c r="C1507" t="inlineStr">
        <is>
          <t>drives you around in her car they just</t>
        </is>
      </c>
      <c r="D1507">
        <f>HYPERLINK("https://www.youtube.com/watch?v=yyPkV_leKEY&amp;t=79s", "Go to time")</f>
        <v/>
      </c>
    </row>
    <row r="1508">
      <c r="A1508">
        <f>HYPERLINK("https://www.youtube.com/watch?v=upyGJw1GYzs", "Video")</f>
        <v/>
      </c>
      <c r="B1508" t="inlineStr">
        <is>
          <t>33:11</t>
        </is>
      </c>
      <c r="C1508" t="inlineStr">
        <is>
          <t>drive there's no stopping this but the</t>
        </is>
      </c>
      <c r="D1508">
        <f>HYPERLINK("https://www.youtube.com/watch?v=upyGJw1GYzs&amp;t=1991s", "Go to time")</f>
        <v/>
      </c>
    </row>
    <row r="1509">
      <c r="A1509">
        <f>HYPERLINK("https://www.youtube.com/watch?v=zkY-Td5ds1c", "Video")</f>
        <v/>
      </c>
      <c r="B1509" t="inlineStr">
        <is>
          <t>11:52</t>
        </is>
      </c>
      <c r="C1509" t="inlineStr">
        <is>
          <t>patrice who has stolen a hard drive</t>
        </is>
      </c>
      <c r="D1509">
        <f>HYPERLINK("https://www.youtube.com/watch?v=zkY-Td5ds1c&amp;t=712s", "Go to time")</f>
        <v/>
      </c>
    </row>
    <row r="1510">
      <c r="A1510">
        <f>HYPERLINK("https://www.youtube.com/watch?v=zkY-Td5ds1c", "Video")</f>
        <v/>
      </c>
      <c r="B1510" t="inlineStr">
        <is>
          <t>15:25</t>
        </is>
      </c>
      <c r="C1510" t="inlineStr">
        <is>
          <t>curving and colliding bullets fox drives</t>
        </is>
      </c>
      <c r="D1510">
        <f>HYPERLINK("https://www.youtube.com/watch?v=zkY-Td5ds1c&amp;t=925s", "Go to time")</f>
        <v/>
      </c>
    </row>
    <row r="1511">
      <c r="A1511">
        <f>HYPERLINK("https://www.youtube.com/watch?v=83122tKLGw4", "Video")</f>
        <v/>
      </c>
      <c r="B1511" t="inlineStr">
        <is>
          <t>49:36</t>
        </is>
      </c>
      <c r="C1511" t="inlineStr">
        <is>
          <t>demon or only God forgives or drive even</t>
        </is>
      </c>
      <c r="D1511">
        <f>HYPERLINK("https://www.youtube.com/watch?v=83122tKLGw4&amp;t=2976s", "Go to time")</f>
        <v/>
      </c>
    </row>
    <row r="1512">
      <c r="A1512">
        <f>HYPERLINK("https://www.youtube.com/watch?v=vW_fSIuE920", "Video")</f>
        <v/>
      </c>
      <c r="B1512" t="inlineStr">
        <is>
          <t>0:17</t>
        </is>
      </c>
      <c r="C1512" t="inlineStr">
        <is>
          <t>run ever driven one of these before</t>
        </is>
      </c>
      <c r="D1512">
        <f>HYPERLINK("https://www.youtube.com/watch?v=vW_fSIuE920&amp;t=17s", "Go to time")</f>
        <v/>
      </c>
    </row>
    <row r="1513">
      <c r="A1513">
        <f>HYPERLINK("https://www.youtube.com/watch?v=bOwjzowsUR8", "Video")</f>
        <v/>
      </c>
      <c r="B1513" t="inlineStr">
        <is>
          <t>0:45</t>
        </is>
      </c>
      <c r="C1513" t="inlineStr">
        <is>
          <t>want no questions just drive okay</t>
        </is>
      </c>
      <c r="D1513">
        <f>HYPERLINK("https://www.youtube.com/watch?v=bOwjzowsUR8&amp;t=45s", "Go to time")</f>
        <v/>
      </c>
    </row>
    <row r="1514">
      <c r="A1514">
        <f>HYPERLINK("https://www.youtube.com/watch?v=bKXqWHekP4o", "Video")</f>
        <v/>
      </c>
      <c r="B1514" t="inlineStr">
        <is>
          <t>0:20</t>
        </is>
      </c>
      <c r="C1514" t="inlineStr">
        <is>
          <t>drive</t>
        </is>
      </c>
      <c r="D1514">
        <f>HYPERLINK("https://www.youtube.com/watch?v=bKXqWHekP4o&amp;t=20s", "Go to time")</f>
        <v/>
      </c>
    </row>
    <row r="1515">
      <c r="A1515">
        <f>HYPERLINK("https://www.youtube.com/watch?v=ZUeMz_tlCso", "Video")</f>
        <v/>
      </c>
      <c r="B1515" t="inlineStr">
        <is>
          <t>0:02</t>
        </is>
      </c>
      <c r="C1515" t="inlineStr">
        <is>
          <t>this game was played only on driveways</t>
        </is>
      </c>
      <c r="D1515">
        <f>HYPERLINK("https://www.youtube.com/watch?v=ZUeMz_tlCso&amp;t=2s", "Go to time")</f>
        <v/>
      </c>
    </row>
    <row r="1516">
      <c r="A1516">
        <f>HYPERLINK("https://www.youtube.com/watch?v=3k1GKf3Z2sc", "Video")</f>
        <v/>
      </c>
      <c r="B1516" t="inlineStr">
        <is>
          <t>2:11</t>
        </is>
      </c>
      <c r="C1516" t="inlineStr">
        <is>
          <t>would you'd rather drive me to Madness</t>
        </is>
      </c>
      <c r="D1516">
        <f>HYPERLINK("https://www.youtube.com/watch?v=3k1GKf3Z2sc&amp;t=131s", "Go to time")</f>
        <v/>
      </c>
    </row>
    <row r="1517">
      <c r="A1517">
        <f>HYPERLINK("https://www.youtube.com/watch?v=8i5TQuC2Ovo", "Video")</f>
        <v/>
      </c>
      <c r="B1517" t="inlineStr">
        <is>
          <t>1:19</t>
        </is>
      </c>
      <c r="C1517" t="inlineStr">
        <is>
          <t>winch in your PT pack to get the driver</t>
        </is>
      </c>
      <c r="D1517">
        <f>HYPERLINK("https://www.youtube.com/watch?v=8i5TQuC2Ovo&amp;t=79s", "Go to time")</f>
        <v/>
      </c>
    </row>
    <row r="1518">
      <c r="A1518">
        <f>HYPERLINK("https://www.youtube.com/watch?v=oflnRQP6Woo", "Video")</f>
        <v/>
      </c>
      <c r="B1518" t="inlineStr">
        <is>
          <t>3:10</t>
        </is>
      </c>
      <c r="C1518" t="inlineStr">
        <is>
          <t>she just drive the car okay</t>
        </is>
      </c>
      <c r="D1518">
        <f>HYPERLINK("https://www.youtube.com/watch?v=oflnRQP6Woo&amp;t=190s", "Go to time")</f>
        <v/>
      </c>
    </row>
    <row r="1519">
      <c r="A1519">
        <f>HYPERLINK("https://www.youtube.com/watch?v=wP3TfR9QlwY", "Video")</f>
        <v/>
      </c>
      <c r="B1519" t="inlineStr">
        <is>
          <t>9:12</t>
        </is>
      </c>
      <c r="C1519" t="inlineStr">
        <is>
          <t>could drive I'm Santa you naughty boys</t>
        </is>
      </c>
      <c r="D1519">
        <f>HYPERLINK("https://www.youtube.com/watch?v=wP3TfR9QlwY&amp;t=552s", "Go to time")</f>
        <v/>
      </c>
    </row>
    <row r="1520">
      <c r="A1520">
        <f>HYPERLINK("https://www.youtube.com/watch?v=iNFHZniqEhY", "Video")</f>
        <v/>
      </c>
      <c r="B1520" t="inlineStr">
        <is>
          <t>1:19</t>
        </is>
      </c>
      <c r="C1520" t="inlineStr">
        <is>
          <t>winch in your PT pack to get the driver</t>
        </is>
      </c>
      <c r="D1520">
        <f>HYPERLINK("https://www.youtube.com/watch?v=iNFHZniqEhY&amp;t=79s", "Go to time")</f>
        <v/>
      </c>
    </row>
    <row r="1521">
      <c r="A1521">
        <f>HYPERLINK("https://www.youtube.com/watch?v=_yMbz437IWI", "Video")</f>
        <v/>
      </c>
      <c r="B1521" t="inlineStr">
        <is>
          <t>2:10</t>
        </is>
      </c>
      <c r="C1521" t="inlineStr">
        <is>
          <t>bit which is kind of driven by Car's</t>
        </is>
      </c>
      <c r="D1521">
        <f>HYPERLINK("https://www.youtube.com/watch?v=_yMbz437IWI&amp;t=130s", "Go to time")</f>
        <v/>
      </c>
    </row>
    <row r="1522">
      <c r="A1522">
        <f>HYPERLINK("https://www.youtube.com/watch?v=c3vmsUcknhY", "Video")</f>
        <v/>
      </c>
      <c r="B1522" t="inlineStr">
        <is>
          <t>2:06</t>
        </is>
      </c>
      <c r="C1522" t="inlineStr">
        <is>
          <t>just drive</t>
        </is>
      </c>
      <c r="D1522">
        <f>HYPERLINK("https://www.youtube.com/watch?v=c3vmsUcknhY&amp;t=126s", "Go to time")</f>
        <v/>
      </c>
    </row>
    <row r="1523">
      <c r="A1523">
        <f>HYPERLINK("https://www.youtube.com/watch?v=ZH39ktYN000", "Video")</f>
        <v/>
      </c>
      <c r="B1523" t="inlineStr">
        <is>
          <t>1:59</t>
        </is>
      </c>
      <c r="C1523" t="inlineStr">
        <is>
          <t>to drive an automobile</t>
        </is>
      </c>
      <c r="D1523">
        <f>HYPERLINK("https://www.youtube.com/watch?v=ZH39ktYN000&amp;t=119s", "Go to time")</f>
        <v/>
      </c>
    </row>
    <row r="1524">
      <c r="A1524">
        <f>HYPERLINK("https://www.youtube.com/watch?v=teJIpv4ETlI", "Video")</f>
        <v/>
      </c>
      <c r="B1524" t="inlineStr">
        <is>
          <t>1:38</t>
        </is>
      </c>
      <c r="C1524" t="inlineStr">
        <is>
          <t>drive I'm on S now thep is</t>
        </is>
      </c>
      <c r="D1524">
        <f>HYPERLINK("https://www.youtube.com/watch?v=teJIpv4ETlI&amp;t=98s", "Go to time")</f>
        <v/>
      </c>
    </row>
    <row r="1525">
      <c r="A1525">
        <f>HYPERLINK("https://www.youtube.com/watch?v=7P70cJVlJ4s", "Video")</f>
        <v/>
      </c>
      <c r="B1525" t="inlineStr">
        <is>
          <t>0:40</t>
        </is>
      </c>
      <c r="C1525" t="inlineStr">
        <is>
          <t>see a driver's license in registration</t>
        </is>
      </c>
      <c r="D1525">
        <f>HYPERLINK("https://www.youtube.com/watch?v=7P70cJVlJ4s&amp;t=40s", "Go to time")</f>
        <v/>
      </c>
    </row>
    <row r="1526">
      <c r="A1526">
        <f>HYPERLINK("https://www.youtube.com/watch?v=rGNhHfEghA0", "Video")</f>
        <v/>
      </c>
      <c r="B1526" t="inlineStr">
        <is>
          <t>1:30</t>
        </is>
      </c>
      <c r="C1526" t="inlineStr">
        <is>
          <t>afford to drive so he's walking to the</t>
        </is>
      </c>
      <c r="D1526">
        <f>HYPERLINK("https://www.youtube.com/watch?v=rGNhHfEghA0&amp;t=90s", "Go to time")</f>
        <v/>
      </c>
    </row>
    <row r="1527">
      <c r="A1527">
        <f>HYPERLINK("https://www.youtube.com/watch?v=__lRwnjxeCg", "Video")</f>
        <v/>
      </c>
      <c r="B1527" t="inlineStr">
        <is>
          <t>2:03</t>
        </is>
      </c>
      <c r="C1527" t="inlineStr">
        <is>
          <t>wanted to do would you rather Drive mean</t>
        </is>
      </c>
      <c r="D1527">
        <f>HYPERLINK("https://www.youtube.com/watch?v=__lRwnjxeCg&amp;t=123s", "Go to time")</f>
        <v/>
      </c>
    </row>
    <row r="1528">
      <c r="A1528">
        <f>HYPERLINK("https://www.youtube.com/watch?v=UHNF4t2Hmu0", "Video")</f>
        <v/>
      </c>
      <c r="B1528" t="inlineStr">
        <is>
          <t>2:25</t>
        </is>
      </c>
      <c r="C1528" t="inlineStr">
        <is>
          <t>drive to take down</t>
        </is>
      </c>
      <c r="D1528">
        <f>HYPERLINK("https://www.youtube.com/watch?v=UHNF4t2Hmu0&amp;t=145s", "Go to time")</f>
        <v/>
      </c>
    </row>
    <row r="1529">
      <c r="A1529">
        <f>HYPERLINK("https://www.youtube.com/watch?v=3xyghFt4zv8", "Video")</f>
        <v/>
      </c>
      <c r="B1529" t="inlineStr">
        <is>
          <t>2:53</t>
        </is>
      </c>
      <c r="C1529" t="inlineStr">
        <is>
          <t>drivers now is your chance to turn</t>
        </is>
      </c>
      <c r="D1529">
        <f>HYPERLINK("https://www.youtube.com/watch?v=3xyghFt4zv8&amp;t=173s", "Go to time")</f>
        <v/>
      </c>
    </row>
    <row r="1530">
      <c r="A1530">
        <f>HYPERLINK("https://www.youtube.com/watch?v=3xyghFt4zv8", "Video")</f>
        <v/>
      </c>
      <c r="B1530" t="inlineStr">
        <is>
          <t>4:10</t>
        </is>
      </c>
      <c r="C1530" t="inlineStr">
        <is>
          <t>same as any other driver on the track</t>
        </is>
      </c>
      <c r="D1530">
        <f>HYPERLINK("https://www.youtube.com/watch?v=3xyghFt4zv8&amp;t=250s", "Go to time")</f>
        <v/>
      </c>
    </row>
    <row r="1531">
      <c r="A1531">
        <f>HYPERLINK("https://www.youtube.com/watch?v=3xyghFt4zv8", "Video")</f>
        <v/>
      </c>
      <c r="B1531" t="inlineStr">
        <is>
          <t>4:36</t>
        </is>
      </c>
      <c r="C1531" t="inlineStr">
        <is>
          <t>would evaluate race car drivers from a</t>
        </is>
      </c>
      <c r="D1531">
        <f>HYPERLINK("https://www.youtube.com/watch?v=3xyghFt4zv8&amp;t=276s", "Go to time")</f>
        <v/>
      </c>
    </row>
    <row r="1532">
      <c r="A1532">
        <f>HYPERLINK("https://www.youtube.com/watch?v=5Z2kQcsfn2Y", "Video")</f>
        <v/>
      </c>
      <c r="B1532" t="inlineStr">
        <is>
          <t>1:14</t>
        </is>
      </c>
      <c r="C1532" t="inlineStr">
        <is>
          <t>a visual on the enemy piledriver this is</t>
        </is>
      </c>
      <c r="D1532">
        <f>HYPERLINK("https://www.youtube.com/watch?v=5Z2kQcsfn2Y&amp;t=74s", "Go to time")</f>
        <v/>
      </c>
    </row>
    <row r="1533">
      <c r="A1533">
        <f>HYPERLINK("https://www.youtube.com/watch?v=5Z2kQcsfn2Y", "Video")</f>
        <v/>
      </c>
      <c r="B1533" t="inlineStr">
        <is>
          <t>2:15</t>
        </is>
      </c>
      <c r="C1533" t="inlineStr">
        <is>
          <t>piledriver we need to get this package</t>
        </is>
      </c>
      <c r="D1533">
        <f>HYPERLINK("https://www.youtube.com/watch?v=5Z2kQcsfn2Y&amp;t=135s", "Go to time")</f>
        <v/>
      </c>
    </row>
    <row r="1534">
      <c r="A1534">
        <f>HYPERLINK("https://www.youtube.com/watch?v=5991zsqlPxQ", "Video")</f>
        <v/>
      </c>
      <c r="B1534" t="inlineStr">
        <is>
          <t>2:32</t>
        </is>
      </c>
      <c r="C1534" t="inlineStr">
        <is>
          <t>Drive get us to a safe distance where</t>
        </is>
      </c>
      <c r="D1534">
        <f>HYPERLINK("https://www.youtube.com/watch?v=5991zsqlPxQ&amp;t=152s", "Go to time")</f>
        <v/>
      </c>
    </row>
    <row r="1535">
      <c r="A1535">
        <f>HYPERLINK("https://www.youtube.com/watch?v=5991zsqlPxQ", "Video")</f>
        <v/>
      </c>
      <c r="B1535" t="inlineStr">
        <is>
          <t>2:45</t>
        </is>
      </c>
      <c r="C1535" t="inlineStr">
        <is>
          <t>FTL drive to overload</t>
        </is>
      </c>
      <c r="D1535">
        <f>HYPERLINK("https://www.youtube.com/watch?v=5991zsqlPxQ&amp;t=165s", "Go to time")</f>
        <v/>
      </c>
    </row>
    <row r="1536">
      <c r="A1536">
        <f>HYPERLINK("https://www.youtube.com/watch?v=H9QScyzavgE", "Video")</f>
        <v/>
      </c>
      <c r="B1536" t="inlineStr">
        <is>
          <t>0:55</t>
        </is>
      </c>
      <c r="C1536" t="inlineStr">
        <is>
          <t>we'll drive safe it's going to rain</t>
        </is>
      </c>
      <c r="D1536">
        <f>HYPERLINK("https://www.youtube.com/watch?v=H9QScyzavgE&amp;t=55s", "Go to time")</f>
        <v/>
      </c>
    </row>
    <row r="1537">
      <c r="A1537">
        <f>HYPERLINK("https://www.youtube.com/watch?v=GNOWTr-m7is", "Video")</f>
        <v/>
      </c>
      <c r="B1537" t="inlineStr">
        <is>
          <t>1:55</t>
        </is>
      </c>
      <c r="C1537" t="inlineStr">
        <is>
          <t>give me some gun I'll drive all night</t>
        </is>
      </c>
      <c r="D1537">
        <f>HYPERLINK("https://www.youtube.com/watch?v=GNOWTr-m7is&amp;t=115s", "Go to time")</f>
        <v/>
      </c>
    </row>
    <row r="1538">
      <c r="A1538">
        <f>HYPERLINK("https://www.youtube.com/watch?v=eAEhtOMuS7I", "Video")</f>
        <v/>
      </c>
      <c r="B1538" t="inlineStr">
        <is>
          <t>2:37</t>
        </is>
      </c>
      <c r="C1538" t="inlineStr">
        <is>
          <t>Matt Damon is in the driver's seat for</t>
        </is>
      </c>
      <c r="D1538">
        <f>HYPERLINK("https://www.youtube.com/watch?v=eAEhtOMuS7I&amp;t=157s", "Go to time")</f>
        <v/>
      </c>
    </row>
    <row r="1539">
      <c r="A1539">
        <f>HYPERLINK("https://www.youtube.com/watch?v=1GHPJREsHvM", "Video")</f>
        <v/>
      </c>
      <c r="B1539" t="inlineStr">
        <is>
          <t>0:39</t>
        </is>
      </c>
      <c r="C1539" t="inlineStr">
        <is>
          <t>friend drive the</t>
        </is>
      </c>
      <c r="D1539">
        <f>HYPERLINK("https://www.youtube.com/watch?v=1GHPJREsHvM&amp;t=39s", "Go to time")</f>
        <v/>
      </c>
    </row>
    <row r="1540">
      <c r="A1540">
        <f>HYPERLINK("https://www.youtube.com/watch?v=1GHPJREsHvM", "Video")</f>
        <v/>
      </c>
      <c r="B1540" t="inlineStr">
        <is>
          <t>0:41</t>
        </is>
      </c>
      <c r="C1540" t="inlineStr">
        <is>
          <t>foodi he drive behind the yellow line I</t>
        </is>
      </c>
      <c r="D1540">
        <f>HYPERLINK("https://www.youtube.com/watch?v=1GHPJREsHvM&amp;t=41s", "Go to time")</f>
        <v/>
      </c>
    </row>
    <row r="1541">
      <c r="A1541">
        <f>HYPERLINK("https://www.youtube.com/watch?v=z7_5LzATXNk", "Video")</f>
        <v/>
      </c>
      <c r="B1541" t="inlineStr">
        <is>
          <t>0:00</t>
        </is>
      </c>
      <c r="C1541" t="inlineStr">
        <is>
          <t>Wally my hands are cuffed I can't drive</t>
        </is>
      </c>
      <c r="D1541">
        <f>HYPERLINK("https://www.youtube.com/watch?v=z7_5LzATXNk&amp;t=0s", "Go to time")</f>
        <v/>
      </c>
    </row>
    <row r="1542">
      <c r="A1542">
        <f>HYPERLINK("https://www.youtube.com/watch?v=z7_5LzATXNk", "Video")</f>
        <v/>
      </c>
      <c r="B1542" t="inlineStr">
        <is>
          <t>3:31</t>
        </is>
      </c>
      <c r="C1542" t="inlineStr">
        <is>
          <t>see I can't drive if you don't push the</t>
        </is>
      </c>
      <c r="D1542">
        <f>HYPERLINK("https://www.youtube.com/watch?v=z7_5LzATXNk&amp;t=211s", "Go to time")</f>
        <v/>
      </c>
    </row>
    <row r="1543">
      <c r="A1543">
        <f>HYPERLINK("https://www.youtube.com/watch?v=9yE3DBhE-_s", "Video")</f>
        <v/>
      </c>
      <c r="B1543" t="inlineStr">
        <is>
          <t>1:45</t>
        </is>
      </c>
      <c r="C1543" t="inlineStr">
        <is>
          <t>too much fun please that's your driveway</t>
        </is>
      </c>
      <c r="D1543">
        <f>HYPERLINK("https://www.youtube.com/watch?v=9yE3DBhE-_s&amp;t=105s", "Go to time")</f>
        <v/>
      </c>
    </row>
    <row r="1544">
      <c r="A1544">
        <f>HYPERLINK("https://www.youtube.com/watch?v=OhFjhkR3d8Y", "Video")</f>
        <v/>
      </c>
      <c r="B1544" t="inlineStr">
        <is>
          <t>0:23</t>
        </is>
      </c>
      <c r="C1544" t="inlineStr">
        <is>
          <t>I'm actually gonna drive Oh pick your</t>
        </is>
      </c>
      <c r="D1544">
        <f>HYPERLINK("https://www.youtube.com/watch?v=OhFjhkR3d8Y&amp;t=23s", "Go to time")</f>
        <v/>
      </c>
    </row>
    <row r="1545">
      <c r="A1545">
        <f>HYPERLINK("https://www.youtube.com/watch?v=7QG7cvi9HnY", "Video")</f>
        <v/>
      </c>
      <c r="B1545" t="inlineStr">
        <is>
          <t>0:18</t>
        </is>
      </c>
      <c r="C1545" t="inlineStr">
        <is>
          <t>Geraldine she's our cow and I'll drive</t>
        </is>
      </c>
      <c r="D1545">
        <f>HYPERLINK("https://www.youtube.com/watch?v=7QG7cvi9HnY&amp;t=18s", "Go to time")</f>
        <v/>
      </c>
    </row>
    <row r="1546">
      <c r="A1546">
        <f>HYPERLINK("https://www.youtube.com/watch?v=eS3cTvIlUr0", "Video")</f>
        <v/>
      </c>
      <c r="B1546" t="inlineStr">
        <is>
          <t>1:38</t>
        </is>
      </c>
      <c r="C1546" t="inlineStr">
        <is>
          <t>excuse me driver do you think he could</t>
        </is>
      </c>
      <c r="D1546">
        <f>HYPERLINK("https://www.youtube.com/watch?v=eS3cTvIlUr0&amp;t=98s", "Go to time")</f>
        <v/>
      </c>
    </row>
    <row r="1547">
      <c r="A1547">
        <f>HYPERLINK("https://www.youtube.com/watch?v=Ronwt1z9gbc", "Video")</f>
        <v/>
      </c>
      <c r="B1547" t="inlineStr">
        <is>
          <t>14:33</t>
        </is>
      </c>
      <c r="C1547" t="inlineStr">
        <is>
          <t>drive how much time do you require for</t>
        </is>
      </c>
      <c r="D1547">
        <f>HYPERLINK("https://www.youtube.com/watch?v=Ronwt1z9gbc&amp;t=873s", "Go to time")</f>
        <v/>
      </c>
    </row>
    <row r="1548">
      <c r="A1548">
        <f>HYPERLINK("https://www.youtube.com/watch?v=Ronwt1z9gbc", "Video")</f>
        <v/>
      </c>
      <c r="B1548" t="inlineStr">
        <is>
          <t>14:55</t>
        </is>
      </c>
      <c r="C1548" t="inlineStr">
        <is>
          <t>warp driver is inoperative a lie an</t>
        </is>
      </c>
      <c r="D1548">
        <f>HYPERLINK("https://www.youtube.com/watch?v=Ronwt1z9gbc&amp;t=895s", "Go to time")</f>
        <v/>
      </c>
    </row>
    <row r="1549">
      <c r="A1549">
        <f>HYPERLINK("https://www.youtube.com/watch?v=08rJmhhQHtY", "Video")</f>
        <v/>
      </c>
      <c r="B1549" t="inlineStr">
        <is>
          <t>1:02</t>
        </is>
      </c>
      <c r="C1549" t="inlineStr">
        <is>
          <t>monkeys body drive me up the tree then</t>
        </is>
      </c>
      <c r="D1549">
        <f>HYPERLINK("https://www.youtube.com/watch?v=08rJmhhQHtY&amp;t=62s", "Go to time")</f>
        <v/>
      </c>
    </row>
    <row r="1550">
      <c r="A1550">
        <f>HYPERLINK("https://www.youtube.com/watch?v=DsJSB1leAko", "Video")</f>
        <v/>
      </c>
      <c r="B1550" t="inlineStr">
        <is>
          <t>27:07</t>
        </is>
      </c>
      <c r="C1550" t="inlineStr">
        <is>
          <t>drive you see my face your life is done</t>
        </is>
      </c>
      <c r="D1550">
        <f>HYPERLINK("https://www.youtube.com/watch?v=DsJSB1leAko&amp;t=1627s", "Go to time")</f>
        <v/>
      </c>
    </row>
    <row r="1551">
      <c r="A1551">
        <f>HYPERLINK("https://www.youtube.com/watch?v=Zbd83LP2Yi8", "Video")</f>
        <v/>
      </c>
      <c r="B1551" t="inlineStr">
        <is>
          <t>0:20</t>
        </is>
      </c>
      <c r="C1551" t="inlineStr">
        <is>
          <t>directly behind the driver that's a</t>
        </is>
      </c>
      <c r="D1551">
        <f>HYPERLINK("https://www.youtube.com/watch?v=Zbd83LP2Yi8&amp;t=20s", "Go to time")</f>
        <v/>
      </c>
    </row>
    <row r="1552">
      <c r="A1552">
        <f>HYPERLINK("https://www.youtube.com/watch?v=Z0UHI0A0pp0", "Video")</f>
        <v/>
      </c>
      <c r="B1552" t="inlineStr">
        <is>
          <t>1:02</t>
        </is>
      </c>
      <c r="C1552" t="inlineStr">
        <is>
          <t>what are you doing get dressed to drive</t>
        </is>
      </c>
      <c r="D1552">
        <f>HYPERLINK("https://www.youtube.com/watch?v=Z0UHI0A0pp0&amp;t=62s", "Go to time")</f>
        <v/>
      </c>
    </row>
    <row r="1553">
      <c r="A1553">
        <f>HYPERLINK("https://www.youtube.com/watch?v=Z0UHI0A0pp0", "Video")</f>
        <v/>
      </c>
      <c r="B1553" t="inlineStr">
        <is>
          <t>1:26</t>
        </is>
      </c>
      <c r="C1553" t="inlineStr">
        <is>
          <t>you have to do that i'm okay i can drive</t>
        </is>
      </c>
      <c r="D1553">
        <f>HYPERLINK("https://www.youtube.com/watch?v=Z0UHI0A0pp0&amp;t=86s", "Go to time")</f>
        <v/>
      </c>
    </row>
    <row r="1554">
      <c r="A1554">
        <f>HYPERLINK("https://www.youtube.com/watch?v=gap2gWQy77A", "Video")</f>
        <v/>
      </c>
      <c r="B1554" t="inlineStr">
        <is>
          <t>1:08</t>
        </is>
      </c>
      <c r="C1554" t="inlineStr">
        <is>
          <t>a buyer for the drive</t>
        </is>
      </c>
      <c r="D1554">
        <f>HYPERLINK("https://www.youtube.com/watch?v=gap2gWQy77A&amp;t=68s", "Go to time")</f>
        <v/>
      </c>
    </row>
    <row r="1555">
      <c r="A1555">
        <f>HYPERLINK("https://www.youtube.com/watch?v=5t24FQK-HKw", "Video")</f>
        <v/>
      </c>
      <c r="B1555" t="inlineStr">
        <is>
          <t>1:35</t>
        </is>
      </c>
      <c r="C1555" t="inlineStr">
        <is>
          <t>hey what's that nicking Drive and what</t>
        </is>
      </c>
      <c r="D1555">
        <f>HYPERLINK("https://www.youtube.com/watch?v=5t24FQK-HKw&amp;t=95s", "Go to time")</f>
        <v/>
      </c>
    </row>
    <row r="1556">
      <c r="A1556">
        <f>HYPERLINK("https://www.youtube.com/watch?v=pU0s0fNa0bY", "Video")</f>
        <v/>
      </c>
      <c r="B1556" t="inlineStr">
        <is>
          <t>0:48</t>
        </is>
      </c>
      <c r="C1556" t="inlineStr">
        <is>
          <t>to Main Street what Co will drive from</t>
        </is>
      </c>
      <c r="D1556">
        <f>HYPERLINK("https://www.youtube.com/watch?v=pU0s0fNa0bY&amp;t=48s", "Go to time")</f>
        <v/>
      </c>
    </row>
    <row r="1557">
      <c r="A1557">
        <f>HYPERLINK("https://www.youtube.com/watch?v=S8avj5d8G6s", "Video")</f>
        <v/>
      </c>
      <c r="B1557" t="inlineStr">
        <is>
          <t>0:48</t>
        </is>
      </c>
      <c r="C1557" t="inlineStr">
        <is>
          <t>Lakeshore Drive you have a view of Lake</t>
        </is>
      </c>
      <c r="D1557">
        <f>HYPERLINK("https://www.youtube.com/watch?v=S8avj5d8G6s&amp;t=48s", "Go to time")</f>
        <v/>
      </c>
    </row>
    <row r="1558">
      <c r="A1558">
        <f>HYPERLINK("https://www.youtube.com/watch?v=AHLo7Vs6drM", "Video")</f>
        <v/>
      </c>
      <c r="B1558" t="inlineStr">
        <is>
          <t>0:02</t>
        </is>
      </c>
      <c r="C1558" t="inlineStr">
        <is>
          <t>drive what would have happened</t>
        </is>
      </c>
      <c r="D1558">
        <f>HYPERLINK("https://www.youtube.com/watch?v=AHLo7Vs6drM&amp;t=2s", "Go to time")</f>
        <v/>
      </c>
    </row>
    <row r="1559">
      <c r="A1559">
        <f>HYPERLINK("https://www.youtube.com/watch?v=AHLo7Vs6drM", "Video")</f>
        <v/>
      </c>
      <c r="B1559" t="inlineStr">
        <is>
          <t>0:16</t>
        </is>
      </c>
      <c r="C1559" t="inlineStr">
        <is>
          <t>because the drive is in my vagina well I</t>
        </is>
      </c>
      <c r="D1559">
        <f>HYPERLINK("https://www.youtube.com/watch?v=AHLo7Vs6drM&amp;t=16s", "Go to time")</f>
        <v/>
      </c>
    </row>
    <row r="1560">
      <c r="A1560">
        <f>HYPERLINK("https://www.youtube.com/watch?v=AHLo7Vs6drM", "Video")</f>
        <v/>
      </c>
      <c r="B1560" t="inlineStr">
        <is>
          <t>0:34</t>
        </is>
      </c>
      <c r="C1560" t="inlineStr">
        <is>
          <t>because I had the flash drive in my</t>
        </is>
      </c>
      <c r="D1560">
        <f>HYPERLINK("https://www.youtube.com/watch?v=AHLo7Vs6drM&amp;t=34s", "Go to time")</f>
        <v/>
      </c>
    </row>
    <row r="1561">
      <c r="A1561">
        <f>HYPERLINK("https://www.youtube.com/watch?v=N7XBRaDE2sQ", "Video")</f>
        <v/>
      </c>
      <c r="B1561" t="inlineStr">
        <is>
          <t>2:41</t>
        </is>
      </c>
      <c r="C1561" t="inlineStr">
        <is>
          <t>you and me we drive the gas crazy she</t>
        </is>
      </c>
      <c r="D1561">
        <f>HYPERLINK("https://www.youtube.com/watch?v=N7XBRaDE2sQ&amp;t=161s", "Go to time")</f>
        <v/>
      </c>
    </row>
    <row r="1562">
      <c r="A1562">
        <f>HYPERLINK("https://www.youtube.com/watch?v=LYFxfqhjWzI", "Video")</f>
        <v/>
      </c>
      <c r="B1562" t="inlineStr">
        <is>
          <t>1:02</t>
        </is>
      </c>
      <c r="C1562" t="inlineStr">
        <is>
          <t>they're cute little puppies who drive</t>
        </is>
      </c>
      <c r="D1562">
        <f>HYPERLINK("https://www.youtube.com/watch?v=LYFxfqhjWzI&amp;t=62s", "Go to time")</f>
        <v/>
      </c>
    </row>
    <row r="1563">
      <c r="A1563">
        <f>HYPERLINK("https://www.youtube.com/watch?v=AAJf0X03SX4", "Video")</f>
        <v/>
      </c>
      <c r="B1563" t="inlineStr">
        <is>
          <t>21:39</t>
        </is>
      </c>
      <c r="C1563" t="inlineStr">
        <is>
          <t>and skilled driver she starts doing</t>
        </is>
      </c>
      <c r="D1563">
        <f>HYPERLINK("https://www.youtube.com/watch?v=AAJf0X03SX4&amp;t=1299s", "Go to time")</f>
        <v/>
      </c>
    </row>
    <row r="1564">
      <c r="A1564">
        <f>HYPERLINK("https://www.youtube.com/watch?v=KjgojvXKgqY", "Video")</f>
        <v/>
      </c>
      <c r="B1564" t="inlineStr">
        <is>
          <t>1:44</t>
        </is>
      </c>
      <c r="C1564" t="inlineStr">
        <is>
          <t>driven and ambitious like the rest of my</t>
        </is>
      </c>
      <c r="D1564">
        <f>HYPERLINK("https://www.youtube.com/watch?v=KjgojvXKgqY&amp;t=104s", "Go to time")</f>
        <v/>
      </c>
    </row>
    <row r="1565">
      <c r="A1565">
        <f>HYPERLINK("https://www.youtube.com/watch?v=rxixH40LdC4", "Video")</f>
        <v/>
      </c>
      <c r="B1565" t="inlineStr">
        <is>
          <t>2:12</t>
        </is>
      </c>
      <c r="C1565" t="inlineStr">
        <is>
          <t>cab driver Frank and joins them on a</t>
        </is>
      </c>
      <c r="D1565">
        <f>HYPERLINK("https://www.youtube.com/watch?v=rxixH40LdC4&amp;t=132s", "Go to time")</f>
        <v/>
      </c>
    </row>
    <row r="1566">
      <c r="A1566">
        <f>HYPERLINK("https://www.youtube.com/watch?v=hZvud4MnaQ0", "Video")</f>
        <v/>
      </c>
      <c r="B1566" t="inlineStr">
        <is>
          <t>0:53</t>
        </is>
      </c>
      <c r="C1566" t="inlineStr">
        <is>
          <t>worry she's gonna go for a drive have a</t>
        </is>
      </c>
      <c r="D1566">
        <f>HYPERLINK("https://www.youtube.com/watch?v=hZvud4MnaQ0&amp;t=53s", "Go to time")</f>
        <v/>
      </c>
    </row>
    <row r="1567">
      <c r="A1567">
        <f>HYPERLINK("https://www.youtube.com/watch?v=pxBsFVWQQVw", "Video")</f>
        <v/>
      </c>
      <c r="B1567" t="inlineStr">
        <is>
          <t>42:19</t>
        </is>
      </c>
      <c r="C1567" t="inlineStr">
        <is>
          <t>drive me to basketball practice after</t>
        </is>
      </c>
      <c r="D1567">
        <f>HYPERLINK("https://www.youtube.com/watch?v=pxBsFVWQQVw&amp;t=2539s", "Go to time")</f>
        <v/>
      </c>
    </row>
    <row r="1568">
      <c r="A1568">
        <f>HYPERLINK("https://www.youtube.com/watch?v=1bBOUr7rAHw", "Video")</f>
        <v/>
      </c>
      <c r="B1568" t="inlineStr">
        <is>
          <t>1:04</t>
        </is>
      </c>
      <c r="C1568" t="inlineStr">
        <is>
          <t>just drank your drug screwdriver and</t>
        </is>
      </c>
      <c r="D1568">
        <f>HYPERLINK("https://www.youtube.com/watch?v=1bBOUr7rAHw&amp;t=64s", "Go to time")</f>
        <v/>
      </c>
    </row>
    <row r="1569">
      <c r="A1569">
        <f>HYPERLINK("https://www.youtube.com/watch?v=gNndUUYScJ8", "Video")</f>
        <v/>
      </c>
      <c r="B1569" t="inlineStr">
        <is>
          <t>0:11</t>
        </is>
      </c>
      <c r="C1569" t="inlineStr">
        <is>
          <t>you stay alive you I should have driven</t>
        </is>
      </c>
      <c r="D1569">
        <f>HYPERLINK("https://www.youtube.com/watch?v=gNndUUYScJ8&amp;t=11s", "Go to time")</f>
        <v/>
      </c>
    </row>
    <row r="1570">
      <c r="A1570">
        <f>HYPERLINK("https://www.youtube.com/watch?v=rsrok5sw2yo", "Video")</f>
        <v/>
      </c>
      <c r="B1570" t="inlineStr">
        <is>
          <t>18:16</t>
        </is>
      </c>
      <c r="C1570" t="inlineStr">
        <is>
          <t>struggles with the complicated drive</t>
        </is>
      </c>
      <c r="D1570">
        <f>HYPERLINK("https://www.youtube.com/watch?v=rsrok5sw2yo&amp;t=1096s", "Go to time")</f>
        <v/>
      </c>
    </row>
    <row r="1571">
      <c r="A1571">
        <f>HYPERLINK("https://www.youtube.com/watch?v=LMlWficwZ-g", "Video")</f>
        <v/>
      </c>
      <c r="B1571" t="inlineStr">
        <is>
          <t>1:54</t>
        </is>
      </c>
      <c r="C1571" t="inlineStr">
        <is>
          <t>Drive hey I'm letting you win drive to a</t>
        </is>
      </c>
      <c r="D1571">
        <f>HYPERLINK("https://www.youtube.com/watch?v=LMlWficwZ-g&amp;t=114s", "Go to time")</f>
        <v/>
      </c>
    </row>
    <row r="1572">
      <c r="A1572">
        <f>HYPERLINK("https://www.youtube.com/watch?v=Jajb3OPTZdc", "Video")</f>
        <v/>
      </c>
      <c r="B1572" t="inlineStr">
        <is>
          <t>2:03</t>
        </is>
      </c>
      <c r="C1572" t="inlineStr">
        <is>
          <t>in your bathroom I can't drive home like</t>
        </is>
      </c>
      <c r="D1572">
        <f>HYPERLINK("https://www.youtube.com/watch?v=Jajb3OPTZdc&amp;t=123s", "Go to time")</f>
        <v/>
      </c>
    </row>
    <row r="1573">
      <c r="A1573">
        <f>HYPERLINK("https://www.youtube.com/watch?v=XC0h9nx3Pw4", "Video")</f>
        <v/>
      </c>
      <c r="B1573" t="inlineStr">
        <is>
          <t>1:34</t>
        </is>
      </c>
      <c r="C1573" t="inlineStr">
        <is>
          <t>Roger oh you want the drive you have to</t>
        </is>
      </c>
      <c r="D1573">
        <f>HYPERLINK("https://www.youtube.com/watch?v=XC0h9nx3Pw4&amp;t=94s", "Go to time")</f>
        <v/>
      </c>
    </row>
    <row r="1574">
      <c r="A1574">
        <f>HYPERLINK("https://www.youtube.com/watch?v=vr6cIRB3oAo", "Video")</f>
        <v/>
      </c>
      <c r="B1574" t="inlineStr">
        <is>
          <t>2:10</t>
        </is>
      </c>
      <c r="C1574" t="inlineStr">
        <is>
          <t>going to drive away with the pants down</t>
        </is>
      </c>
      <c r="D1574">
        <f>HYPERLINK("https://www.youtube.com/watch?v=vr6cIRB3oAo&amp;t=130s", "Go to time")</f>
        <v/>
      </c>
    </row>
    <row r="1575">
      <c r="A1575">
        <f>HYPERLINK("https://www.youtube.com/watch?v=J_C_zO9UI84", "Video")</f>
        <v/>
      </c>
      <c r="B1575" t="inlineStr">
        <is>
          <t>12:02</t>
        </is>
      </c>
      <c r="C1575" t="inlineStr">
        <is>
          <t>belt drive loosening or coming off but</t>
        </is>
      </c>
      <c r="D1575">
        <f>HYPERLINK("https://www.youtube.com/watch?v=J_C_zO9UI84&amp;t=722s", "Go to time")</f>
        <v/>
      </c>
    </row>
    <row r="1576">
      <c r="A1576">
        <f>HYPERLINK("https://www.youtube.com/watch?v=J_C_zO9UI84", "Video")</f>
        <v/>
      </c>
      <c r="B1576" t="inlineStr">
        <is>
          <t>12:17</t>
        </is>
      </c>
      <c r="C1576" t="inlineStr">
        <is>
          <t>cycle the agitator drive shaft and spin</t>
        </is>
      </c>
      <c r="D1576">
        <f>HYPERLINK("https://www.youtube.com/watch?v=J_C_zO9UI84&amp;t=737s", "Go to time")</f>
        <v/>
      </c>
    </row>
    <row r="1577">
      <c r="A1577">
        <f>HYPERLINK("https://www.youtube.com/watch?v=nfi5M7Q6_pU", "Video")</f>
        <v/>
      </c>
      <c r="B1577" t="inlineStr">
        <is>
          <t>2:00</t>
        </is>
      </c>
      <c r="C1577" t="inlineStr">
        <is>
          <t>okay you came to drive</t>
        </is>
      </c>
      <c r="D1577">
        <f>HYPERLINK("https://www.youtube.com/watch?v=nfi5M7Q6_pU&amp;t=120s", "Go to time")</f>
        <v/>
      </c>
    </row>
    <row r="1578">
      <c r="A1578">
        <f>HYPERLINK("https://www.youtube.com/watch?v=b0D0XJEpATQ", "Video")</f>
        <v/>
      </c>
      <c r="B1578" t="inlineStr">
        <is>
          <t>1:29</t>
        </is>
      </c>
      <c r="C1578" t="inlineStr">
        <is>
          <t>it's reynolds drive four horses down</t>
        </is>
      </c>
      <c r="D1578">
        <f>HYPERLINK("https://www.youtube.com/watch?v=b0D0XJEpATQ&amp;t=89s", "Go to time")</f>
        <v/>
      </c>
    </row>
    <row r="1579">
      <c r="A1579">
        <f>HYPERLINK("https://www.youtube.com/watch?v=rv-bb9iKZY0", "Video")</f>
        <v/>
      </c>
      <c r="B1579" t="inlineStr">
        <is>
          <t>2:12</t>
        </is>
      </c>
      <c r="C1579" t="inlineStr">
        <is>
          <t>say a quiet dialogue driven Thriller</t>
        </is>
      </c>
      <c r="D1579">
        <f>HYPERLINK("https://www.youtube.com/watch?v=rv-bb9iKZY0&amp;t=132s", "Go to time")</f>
        <v/>
      </c>
    </row>
    <row r="1580">
      <c r="A1580">
        <f>HYPERLINK("https://www.youtube.com/watch?v=pvACjy-tYFE", "Video")</f>
        <v/>
      </c>
      <c r="B1580" t="inlineStr">
        <is>
          <t>0:45</t>
        </is>
      </c>
      <c r="C1580" t="inlineStr">
        <is>
          <t>driver is forced to make that one key</t>
        </is>
      </c>
      <c r="D1580">
        <f>HYPERLINK("https://www.youtube.com/watch?v=pvACjy-tYFE&amp;t=45s", "Go to time")</f>
        <v/>
      </c>
    </row>
    <row r="1581">
      <c r="A1581">
        <f>HYPERLINK("https://www.youtube.com/watch?v=pHN_1hbzlNw", "Video")</f>
        <v/>
      </c>
      <c r="B1581" t="inlineStr">
        <is>
          <t>0:50</t>
        </is>
      </c>
      <c r="C1581" t="inlineStr">
        <is>
          <t>vehicle this driver is suspected in a</t>
        </is>
      </c>
      <c r="D1581">
        <f>HYPERLINK("https://www.youtube.com/watch?v=pHN_1hbzlNw&amp;t=50s", "Go to time")</f>
        <v/>
      </c>
    </row>
    <row r="1582">
      <c r="A1582">
        <f>HYPERLINK("https://www.youtube.com/watch?v=RhtMNr6yTkk", "Video")</f>
        <v/>
      </c>
      <c r="B1582" t="inlineStr">
        <is>
          <t>0:52</t>
        </is>
      </c>
      <c r="C1582" t="inlineStr">
        <is>
          <t>so what drive oh wow</t>
        </is>
      </c>
      <c r="D1582">
        <f>HYPERLINK("https://www.youtube.com/watch?v=RhtMNr6yTkk&amp;t=52s", "Go to time")</f>
        <v/>
      </c>
    </row>
    <row r="1583">
      <c r="A1583">
        <f>HYPERLINK("https://www.youtube.com/watch?v=8vCH0Aw1rWw", "Video")</f>
        <v/>
      </c>
      <c r="B1583" t="inlineStr">
        <is>
          <t>0:25</t>
        </is>
      </c>
      <c r="C1583" t="inlineStr">
        <is>
          <t>need to drive your faster on foot what I</t>
        </is>
      </c>
      <c r="D1583">
        <f>HYPERLINK("https://www.youtube.com/watch?v=8vCH0Aw1rWw&amp;t=25s", "Go to time")</f>
        <v/>
      </c>
    </row>
    <row r="1584">
      <c r="A1584">
        <f>HYPERLINK("https://www.youtube.com/watch?v=8vCH0Aw1rWw", "Video")</f>
        <v/>
      </c>
      <c r="B1584" t="inlineStr">
        <is>
          <t>0:27</t>
        </is>
      </c>
      <c r="C1584" t="inlineStr">
        <is>
          <t>don't get to drive the lambo no you</t>
        </is>
      </c>
      <c r="D1584">
        <f>HYPERLINK("https://www.youtube.com/watch?v=8vCH0Aw1rWw&amp;t=27s", "Go to time")</f>
        <v/>
      </c>
    </row>
    <row r="1585">
      <c r="A1585">
        <f>HYPERLINK("https://www.youtube.com/watch?v=8vCH0Aw1rWw", "Video")</f>
        <v/>
      </c>
      <c r="B1585" t="inlineStr">
        <is>
          <t>0:36</t>
        </is>
      </c>
      <c r="C1585" t="inlineStr">
        <is>
          <t>glorious I promise how do you drive this</t>
        </is>
      </c>
      <c r="D1585">
        <f>HYPERLINK("https://www.youtube.com/watch?v=8vCH0Aw1rWw&amp;t=36s", "Go to time")</f>
        <v/>
      </c>
    </row>
    <row r="1586">
      <c r="A1586">
        <f>HYPERLINK("https://www.youtube.com/watch?v=8vCH0Aw1rWw", "Video")</f>
        <v/>
      </c>
      <c r="B1586" t="inlineStr">
        <is>
          <t>0:39</t>
        </is>
      </c>
      <c r="C1586" t="inlineStr">
        <is>
          <t>thing you got to let her drive you</t>
        </is>
      </c>
      <c r="D1586">
        <f>HYPERLINK("https://www.youtube.com/watch?v=8vCH0Aw1rWw&amp;t=39s", "Go to time")</f>
        <v/>
      </c>
    </row>
    <row r="1587">
      <c r="A1587">
        <f>HYPERLINK("https://www.youtube.com/watch?v=8vCH0Aw1rWw", "Video")</f>
        <v/>
      </c>
      <c r="B1587" t="inlineStr">
        <is>
          <t>1:12</t>
        </is>
      </c>
      <c r="C1587" t="inlineStr">
        <is>
          <t>car that's one of the best drivers that</t>
        </is>
      </c>
      <c r="D1587">
        <f>HYPERLINK("https://www.youtube.com/watch?v=8vCH0Aw1rWw&amp;t=72s", "Go to time")</f>
        <v/>
      </c>
    </row>
    <row r="1588">
      <c r="A1588">
        <f>HYPERLINK("https://www.youtube.com/watch?v=F4ciZtuuKI0", "Video")</f>
        <v/>
      </c>
      <c r="B1588" t="inlineStr">
        <is>
          <t>41:09</t>
        </is>
      </c>
      <c r="C1588" t="inlineStr">
        <is>
          <t>audience-driven movie and so they</t>
        </is>
      </c>
      <c r="D1588">
        <f>HYPERLINK("https://www.youtube.com/watch?v=F4ciZtuuKI0&amp;t=2469s", "Go to time")</f>
        <v/>
      </c>
    </row>
    <row r="1589">
      <c r="A1589">
        <f>HYPERLINK("https://www.youtube.com/watch?v=xNwQyNMSUmg", "Video")</f>
        <v/>
      </c>
      <c r="B1589" t="inlineStr">
        <is>
          <t>1:29</t>
        </is>
      </c>
      <c r="C1589" t="inlineStr">
        <is>
          <t>likewise the house at two dearborn drive</t>
        </is>
      </c>
      <c r="D1589">
        <f>HYPERLINK("https://www.youtube.com/watch?v=xNwQyNMSUmg&amp;t=89s", "Go to time")</f>
        <v/>
      </c>
    </row>
    <row r="1590">
      <c r="A1590">
        <f>HYPERLINK("https://www.youtube.com/watch?v=kZIVwMJnCOo", "Video")</f>
        <v/>
      </c>
      <c r="B1590" t="inlineStr">
        <is>
          <t>23:27</t>
        </is>
      </c>
      <c r="C1590" t="inlineStr">
        <is>
          <t>a cattle drive</t>
        </is>
      </c>
      <c r="D1590">
        <f>HYPERLINK("https://www.youtube.com/watch?v=kZIVwMJnCOo&amp;t=1407s", "Go to time")</f>
        <v/>
      </c>
    </row>
    <row r="1591">
      <c r="A1591">
        <f>HYPERLINK("https://www.youtube.com/watch?v=_lXU3tA-Yys", "Video")</f>
        <v/>
      </c>
      <c r="B1591" t="inlineStr">
        <is>
          <t>4:26</t>
        </is>
      </c>
      <c r="C1591" t="inlineStr">
        <is>
          <t>two friends test drive a 1970 dodge</t>
        </is>
      </c>
      <c r="D1591">
        <f>HYPERLINK("https://www.youtube.com/watch?v=_lXU3tA-Yys&amp;t=266s", "Go to time")</f>
        <v/>
      </c>
    </row>
    <row r="1592">
      <c r="A1592">
        <f>HYPERLINK("https://www.youtube.com/watch?v=_lXU3tA-Yys", "Video")</f>
        <v/>
      </c>
      <c r="B1592" t="inlineStr">
        <is>
          <t>8:35</t>
        </is>
      </c>
      <c r="C1592" t="inlineStr">
        <is>
          <t>drive straight</t>
        </is>
      </c>
      <c r="D1592">
        <f>HYPERLINK("https://www.youtube.com/watch?v=_lXU3tA-Yys&amp;t=515s", "Go to time")</f>
        <v/>
      </c>
    </row>
    <row r="1593">
      <c r="A1593">
        <f>HYPERLINK("https://www.youtube.com/watch?v=_lXU3tA-Yys", "Video")</f>
        <v/>
      </c>
      <c r="B1593" t="inlineStr">
        <is>
          <t>9:54</t>
        </is>
      </c>
      <c r="C1593" t="inlineStr">
        <is>
          <t>drive straight</t>
        </is>
      </c>
      <c r="D1593">
        <f>HYPERLINK("https://www.youtube.com/watch?v=_lXU3tA-Yys&amp;t=594s", "Go to time")</f>
        <v/>
      </c>
    </row>
    <row r="1594">
      <c r="A1594">
        <f>HYPERLINK("https://www.youtube.com/watch?v=_2dIVrud4a0", "Video")</f>
        <v/>
      </c>
      <c r="B1594" t="inlineStr">
        <is>
          <t>1:41</t>
        </is>
      </c>
      <c r="C1594" t="inlineStr">
        <is>
          <t>oh hell then we'll drive her to cousin</t>
        </is>
      </c>
      <c r="D1594">
        <f>HYPERLINK("https://www.youtube.com/watch?v=_2dIVrud4a0&amp;t=101s", "Go to time")</f>
        <v/>
      </c>
    </row>
    <row r="1595">
      <c r="A1595">
        <f>HYPERLINK("https://www.youtube.com/watch?v=TtKSjRy7kuU", "Video")</f>
        <v/>
      </c>
      <c r="B1595" t="inlineStr">
        <is>
          <t>0:50</t>
        </is>
      </c>
      <c r="C1595" t="inlineStr">
        <is>
          <t>joke should I drive over to see</t>
        </is>
      </c>
      <c r="D1595">
        <f>HYPERLINK("https://www.youtube.com/watch?v=TtKSjRy7kuU&amp;t=50s", "Go to time")</f>
        <v/>
      </c>
    </row>
    <row r="1596">
      <c r="A1596">
        <f>HYPERLINK("https://www.youtube.com/watch?v=R26CNzVTmgM", "Video")</f>
        <v/>
      </c>
      <c r="B1596" t="inlineStr">
        <is>
          <t>0:55</t>
        </is>
      </c>
      <c r="C1596" t="inlineStr">
        <is>
          <t>Come on, drive. Drive now.</t>
        </is>
      </c>
      <c r="D1596">
        <f>HYPERLINK("https://www.youtube.com/watch?v=R26CNzVTmgM&amp;t=55s", "Go to time")</f>
        <v/>
      </c>
    </row>
    <row r="1597">
      <c r="A1597">
        <f>HYPERLINK("https://www.youtube.com/watch?v=9B8HkAuHf5Q", "Video")</f>
        <v/>
      </c>
      <c r="B1597" t="inlineStr">
        <is>
          <t>11:10</t>
        </is>
      </c>
      <c r="C1597" t="inlineStr">
        <is>
          <t>globe on a sleigh driven by hell dear</t>
        </is>
      </c>
      <c r="D1597">
        <f>HYPERLINK("https://www.youtube.com/watch?v=9B8HkAuHf5Q&amp;t=670s", "Go to time")</f>
        <v/>
      </c>
    </row>
    <row r="1598">
      <c r="A1598">
        <f>HYPERLINK("https://www.youtube.com/watch?v=2T2eqXIU_90", "Video")</f>
        <v/>
      </c>
      <c r="B1598" t="inlineStr">
        <is>
          <t>0:55</t>
        </is>
      </c>
      <c r="C1598" t="inlineStr">
        <is>
          <t>of the base Street drivers in a money</t>
        </is>
      </c>
      <c r="D1598">
        <f>HYPERLINK("https://www.youtube.com/watch?v=2T2eqXIU_90&amp;t=55s", "Go to time")</f>
        <v/>
      </c>
    </row>
    <row r="1599">
      <c r="A1599">
        <f>HYPERLINK("https://www.youtube.com/watch?v=wJvbzVevp4Y", "Video")</f>
        <v/>
      </c>
      <c r="B1599" t="inlineStr">
        <is>
          <t>8:57</t>
        </is>
      </c>
      <c r="C1599" t="inlineStr">
        <is>
          <t>the driver's body from the Twisted</t>
        </is>
      </c>
      <c r="D1599">
        <f>HYPERLINK("https://www.youtube.com/watch?v=wJvbzVevp4Y&amp;t=537s", "Go to time")</f>
        <v/>
      </c>
    </row>
    <row r="1600">
      <c r="A1600">
        <f>HYPERLINK("https://www.youtube.com/watch?v=aGQ7zpRIfvE", "Video")</f>
        <v/>
      </c>
      <c r="B1600" t="inlineStr">
        <is>
          <t>4:47</t>
        </is>
      </c>
      <c r="C1600" t="inlineStr">
        <is>
          <t>driver why don't you go sit in that seat</t>
        </is>
      </c>
      <c r="D1600">
        <f>HYPERLINK("https://www.youtube.com/watch?v=aGQ7zpRIfvE&amp;t=287s", "Go to time")</f>
        <v/>
      </c>
    </row>
    <row r="1601">
      <c r="A1601">
        <f>HYPERLINK("https://www.youtube.com/watch?v=HRTCrjp1ScY", "Video")</f>
        <v/>
      </c>
      <c r="B1601" t="inlineStr">
        <is>
          <t>61:47</t>
        </is>
      </c>
      <c r="C1601" t="inlineStr">
        <is>
          <t>to rewatch it but Drive with Ryan goling</t>
        </is>
      </c>
      <c r="D1601">
        <f>HYPERLINK("https://www.youtube.com/watch?v=HRTCrjp1ScY&amp;t=3707s", "Go to time")</f>
        <v/>
      </c>
    </row>
    <row r="1602">
      <c r="A1602">
        <f>HYPERLINK("https://www.youtube.com/watch?v=22JcoNl2o3c", "Video")</f>
        <v/>
      </c>
      <c r="B1602" t="inlineStr">
        <is>
          <t>1:24</t>
        </is>
      </c>
      <c r="C1602" t="inlineStr">
        <is>
          <t>right just driving just drive me now</t>
        </is>
      </c>
      <c r="D1602">
        <f>HYPERLINK("https://www.youtube.com/watch?v=22JcoNl2o3c&amp;t=84s", "Go to time")</f>
        <v/>
      </c>
    </row>
    <row r="1603">
      <c r="A1603">
        <f>HYPERLINK("https://www.youtube.com/watch?v=OEmcYDU_Asg", "Video")</f>
        <v/>
      </c>
      <c r="B1603" t="inlineStr">
        <is>
          <t>1:39</t>
        </is>
      </c>
      <c r="C1603" t="inlineStr">
        <is>
          <t>are you going just drive the car I'll</t>
        </is>
      </c>
      <c r="D1603">
        <f>HYPERLINK("https://www.youtube.com/watch?v=OEmcYDU_Asg&amp;t=99s", "Go to time")</f>
        <v/>
      </c>
    </row>
    <row r="1604">
      <c r="A1604">
        <f>HYPERLINK("https://www.youtube.com/watch?v=-8P_pmKKanM", "Video")</f>
        <v/>
      </c>
      <c r="B1604" t="inlineStr">
        <is>
          <t>2:40</t>
        </is>
      </c>
      <c r="C1604" t="inlineStr">
        <is>
          <t>driver has a color TV nowadays and the</t>
        </is>
      </c>
      <c r="D1604">
        <f>HYPERLINK("https://www.youtube.com/watch?v=-8P_pmKKanM&amp;t=160s", "Go to time")</f>
        <v/>
      </c>
    </row>
    <row r="1605">
      <c r="A1605">
        <f>HYPERLINK("https://www.youtube.com/watch?v=CC48HudGqVk", "Video")</f>
        <v/>
      </c>
      <c r="B1605" t="inlineStr">
        <is>
          <t>6:08</t>
        </is>
      </c>
      <c r="C1605" t="inlineStr">
        <is>
          <t>drive towards uh the the Great Pyramids</t>
        </is>
      </c>
      <c r="D1605">
        <f>HYPERLINK("https://www.youtube.com/watch?v=CC48HudGqVk&amp;t=368s", "Go to time")</f>
        <v/>
      </c>
    </row>
    <row r="1606">
      <c r="A1606">
        <f>HYPERLINK("https://www.youtube.com/watch?v=FMZMcUcxIVs", "Video")</f>
        <v/>
      </c>
      <c r="B1606" t="inlineStr">
        <is>
          <t>1:36</t>
        </is>
      </c>
      <c r="C1606" t="inlineStr">
        <is>
          <t>here I'll drive you I brought my own car</t>
        </is>
      </c>
      <c r="D1606">
        <f>HYPERLINK("https://www.youtube.com/watch?v=FMZMcUcxIVs&amp;t=96s", "Go to time")</f>
        <v/>
      </c>
    </row>
    <row r="1607">
      <c r="A1607">
        <f>HYPERLINK("https://www.youtube.com/watch?v=mvh7UyQ5NJ0", "Video")</f>
        <v/>
      </c>
      <c r="B1607" t="inlineStr">
        <is>
          <t>0:16</t>
        </is>
      </c>
      <c r="C1607" t="inlineStr">
        <is>
          <t>i drive a</t>
        </is>
      </c>
      <c r="D1607">
        <f>HYPERLINK("https://www.youtube.com/watch?v=mvh7UyQ5NJ0&amp;t=16s", "Go to time")</f>
        <v/>
      </c>
    </row>
    <row r="1608">
      <c r="A1608">
        <f>HYPERLINK("https://www.youtube.com/watch?v=MufYFkZKEvI", "Video")</f>
        <v/>
      </c>
      <c r="B1608" t="inlineStr">
        <is>
          <t>20:39</t>
        </is>
      </c>
      <c r="C1608" t="inlineStr">
        <is>
          <t>driveways the shelf is for a manga</t>
        </is>
      </c>
      <c r="D1608">
        <f>HYPERLINK("https://www.youtube.com/watch?v=MufYFkZKEvI&amp;t=1239s", "Go to time")</f>
        <v/>
      </c>
    </row>
    <row r="1609">
      <c r="A1609">
        <f>HYPERLINK("https://www.youtube.com/watch?v=MufYFkZKEvI", "Video")</f>
        <v/>
      </c>
      <c r="B1609" t="inlineStr">
        <is>
          <t>21:00</t>
        </is>
      </c>
      <c r="C1609" t="inlineStr">
        <is>
          <t>driveways this marks just the second</t>
        </is>
      </c>
      <c r="D1609">
        <f>HYPERLINK("https://www.youtube.com/watch?v=MufYFkZKEvI&amp;t=1260s", "Go to time")</f>
        <v/>
      </c>
    </row>
    <row r="1610">
      <c r="A1610">
        <f>HYPERLINK("https://www.youtube.com/watch?v=MufYFkZKEvI", "Video")</f>
        <v/>
      </c>
      <c r="B1610" t="inlineStr">
        <is>
          <t>21:46</t>
        </is>
      </c>
      <c r="C1610" t="inlineStr">
        <is>
          <t>driveways came from an original</t>
        </is>
      </c>
      <c r="D1610">
        <f>HYPERLINK("https://www.youtube.com/watch?v=MufYFkZKEvI&amp;t=1306s", "Go to time")</f>
        <v/>
      </c>
    </row>
    <row r="1611">
      <c r="A1611">
        <f>HYPERLINK("https://www.youtube.com/watch?v=MufYFkZKEvI", "Video")</f>
        <v/>
      </c>
      <c r="B1611" t="inlineStr">
        <is>
          <t>22:53</t>
        </is>
      </c>
      <c r="C1611" t="inlineStr">
        <is>
          <t>driveways is a character study anchored</t>
        </is>
      </c>
      <c r="D1611">
        <f>HYPERLINK("https://www.youtube.com/watch?v=MufYFkZKEvI&amp;t=1373s", "Go to time")</f>
        <v/>
      </c>
    </row>
    <row r="1612">
      <c r="A1612">
        <f>HYPERLINK("https://www.youtube.com/watch?v=7tE2mJcTngo", "Video")</f>
        <v/>
      </c>
      <c r="B1612" t="inlineStr">
        <is>
          <t>1:44</t>
        </is>
      </c>
      <c r="C1612" t="inlineStr">
        <is>
          <t>head put it in a bag and drive</t>
        </is>
      </c>
      <c r="D1612">
        <f>HYPERLINK("https://www.youtube.com/watch?v=7tE2mJcTngo&amp;t=104s", "Go to time")</f>
        <v/>
      </c>
    </row>
    <row r="1613">
      <c r="A1613">
        <f>HYPERLINK("https://www.youtube.com/watch?v=-iWG2IYRIAI", "Video")</f>
        <v/>
      </c>
      <c r="B1613" t="inlineStr">
        <is>
          <t>16:21</t>
        </is>
      </c>
      <c r="C1613" t="inlineStr">
        <is>
          <t>allowed to drive home after seeing one</t>
        </is>
      </c>
      <c r="D1613">
        <f>HYPERLINK("https://www.youtube.com/watch?v=-iWG2IYRIAI&amp;t=981s", "Go to time")</f>
        <v/>
      </c>
    </row>
    <row r="1614">
      <c r="A1614">
        <f>HYPERLINK("https://www.youtube.com/watch?v=-iWG2IYRIAI", "Video")</f>
        <v/>
      </c>
      <c r="B1614" t="inlineStr">
        <is>
          <t>16:27</t>
        </is>
      </c>
      <c r="C1614" t="inlineStr">
        <is>
          <t>hard as we can and I drive an automatic</t>
        </is>
      </c>
      <c r="D1614">
        <f>HYPERLINK("https://www.youtube.com/watch?v=-iWG2IYRIAI&amp;t=987s", "Go to time")</f>
        <v/>
      </c>
    </row>
    <row r="1615">
      <c r="A1615">
        <f>HYPERLINK("https://www.youtube.com/watch?v=-iWG2IYRIAI", "Video")</f>
        <v/>
      </c>
      <c r="B1615" t="inlineStr">
        <is>
          <t>22:00</t>
        </is>
      </c>
      <c r="C1615" t="inlineStr">
        <is>
          <t>to drive to try street racing or get</t>
        </is>
      </c>
      <c r="D1615">
        <f>HYPERLINK("https://www.youtube.com/watch?v=-iWG2IYRIAI&amp;t=1320s", "Go to time")</f>
        <v/>
      </c>
    </row>
    <row r="1616">
      <c r="A1616">
        <f>HYPERLINK("https://www.youtube.com/watch?v=-iWG2IYRIAI", "Video")</f>
        <v/>
      </c>
      <c r="B1616" t="inlineStr">
        <is>
          <t>23:40</t>
        </is>
      </c>
      <c r="C1616" t="inlineStr">
        <is>
          <t>neighborhood pulling in my driveway and</t>
        </is>
      </c>
      <c r="D1616">
        <f>HYPERLINK("https://www.youtube.com/watch?v=-iWG2IYRIAI&amp;t=1420s", "Go to time")</f>
        <v/>
      </c>
    </row>
    <row r="1617">
      <c r="A1617">
        <f>HYPERLINK("https://www.youtube.com/watch?v=-iWG2IYRIAI", "Video")</f>
        <v/>
      </c>
      <c r="B1617" t="inlineStr">
        <is>
          <t>43:18</t>
        </is>
      </c>
      <c r="C1617" t="inlineStr">
        <is>
          <t>my God the drive from Coachella to Los</t>
        </is>
      </c>
      <c r="D1617">
        <f>HYPERLINK("https://www.youtube.com/watch?v=-iWG2IYRIAI&amp;t=2598s", "Go to time")</f>
        <v/>
      </c>
    </row>
    <row r="1618">
      <c r="A1618">
        <f>HYPERLINK("https://www.youtube.com/watch?v=5q6J_C_d1fk", "Video")</f>
        <v/>
      </c>
      <c r="B1618" t="inlineStr">
        <is>
          <t>1:35</t>
        </is>
      </c>
      <c r="C1618" t="inlineStr">
        <is>
          <t>because he wants to drive too fast</t>
        </is>
      </c>
      <c r="D1618">
        <f>HYPERLINK("https://www.youtube.com/watch?v=5q6J_C_d1fk&amp;t=95s", "Go to time")</f>
        <v/>
      </c>
    </row>
    <row r="1619">
      <c r="A1619">
        <f>HYPERLINK("https://www.youtube.com/watch?v=5q6J_C_d1fk", "Video")</f>
        <v/>
      </c>
      <c r="B1619" t="inlineStr">
        <is>
          <t>1:40</t>
        </is>
      </c>
      <c r="C1619" t="inlineStr">
        <is>
          <t>how fast i drive</t>
        </is>
      </c>
      <c r="D1619">
        <f>HYPERLINK("https://www.youtube.com/watch?v=5q6J_C_d1fk&amp;t=100s", "Go to time")</f>
        <v/>
      </c>
    </row>
    <row r="1620">
      <c r="A1620">
        <f>HYPERLINK("https://www.youtube.com/watch?v=HGvsPGn6jdE", "Video")</f>
        <v/>
      </c>
      <c r="B1620" t="inlineStr">
        <is>
          <t>0:55</t>
        </is>
      </c>
      <c r="C1620" t="inlineStr">
        <is>
          <t>we'll drive safe it's going to rain</t>
        </is>
      </c>
      <c r="D1620">
        <f>HYPERLINK("https://www.youtube.com/watch?v=HGvsPGn6jdE&amp;t=55s", "Go to time")</f>
        <v/>
      </c>
    </row>
    <row r="1621">
      <c r="A1621">
        <f>HYPERLINK("https://www.youtube.com/watch?v=isMWFQ1Nq_s", "Video")</f>
        <v/>
      </c>
      <c r="B1621" t="inlineStr">
        <is>
          <t>0:26</t>
        </is>
      </c>
      <c r="C1621" t="inlineStr">
        <is>
          <t>driveway</t>
        </is>
      </c>
      <c r="D1621">
        <f>HYPERLINK("https://www.youtube.com/watch?v=isMWFQ1Nq_s&amp;t=26s", "Go to time")</f>
        <v/>
      </c>
    </row>
    <row r="1622">
      <c r="A1622">
        <f>HYPERLINK("https://www.youtube.com/watch?v=isMWFQ1Nq_s", "Video")</f>
        <v/>
      </c>
      <c r="B1622" t="inlineStr">
        <is>
          <t>1:45</t>
        </is>
      </c>
      <c r="C1622" t="inlineStr">
        <is>
          <t>driveway</t>
        </is>
      </c>
      <c r="D1622">
        <f>HYPERLINK("https://www.youtube.com/watch?v=isMWFQ1Nq_s&amp;t=105s", "Go to time")</f>
        <v/>
      </c>
    </row>
    <row r="1623">
      <c r="A1623">
        <f>HYPERLINK("https://www.youtube.com/watch?v=eGkon4KsBFk", "Video")</f>
        <v/>
      </c>
      <c r="B1623" t="inlineStr">
        <is>
          <t>1:41</t>
        </is>
      </c>
      <c r="C1623" t="inlineStr">
        <is>
          <t>look at my driver's license expires</t>
        </is>
      </c>
      <c r="D1623">
        <f>HYPERLINK("https://www.youtube.com/watch?v=eGkon4KsBFk&amp;t=101s", "Go to time")</f>
        <v/>
      </c>
    </row>
    <row r="1624">
      <c r="A1624">
        <f>HYPERLINK("https://www.youtube.com/watch?v=wbICcD7VU3o", "Video")</f>
        <v/>
      </c>
      <c r="B1624" t="inlineStr">
        <is>
          <t>2:17</t>
        </is>
      </c>
      <c r="C1624" t="inlineStr">
        <is>
          <t>when we were driven from Athens I</t>
        </is>
      </c>
      <c r="D1624">
        <f>HYPERLINK("https://www.youtube.com/watch?v=wbICcD7VU3o&amp;t=137s", "Go to time")</f>
        <v/>
      </c>
    </row>
    <row r="1625">
      <c r="A1625">
        <f>HYPERLINK("https://www.youtube.com/watch?v=AaJ3hg5KAzU", "Video")</f>
        <v/>
      </c>
      <c r="B1625" t="inlineStr">
        <is>
          <t>1:40</t>
        </is>
      </c>
      <c r="C1625" t="inlineStr">
        <is>
          <t>uh can you drive a stick yeah good put</t>
        </is>
      </c>
      <c r="D1625">
        <f>HYPERLINK("https://www.youtube.com/watch?v=AaJ3hg5KAzU&amp;t=100s", "Go to time")</f>
        <v/>
      </c>
    </row>
    <row r="1626">
      <c r="A1626">
        <f>HYPERLINK("https://www.youtube.com/watch?v=e_xh5RUvRd0", "Video")</f>
        <v/>
      </c>
      <c r="B1626" t="inlineStr">
        <is>
          <t>6:11</t>
        </is>
      </c>
      <c r="C1626" t="inlineStr">
        <is>
          <t>there we gotta go for a drive though</t>
        </is>
      </c>
      <c r="D1626">
        <f>HYPERLINK("https://www.youtube.com/watch?v=e_xh5RUvRd0&amp;t=371s", "Go to time")</f>
        <v/>
      </c>
    </row>
    <row r="1627">
      <c r="A1627">
        <f>HYPERLINK("https://www.youtube.com/watch?v=e_xh5RUvRd0", "Video")</f>
        <v/>
      </c>
      <c r="B1627" t="inlineStr">
        <is>
          <t>8:14</t>
        </is>
      </c>
      <c r="C1627" t="inlineStr">
        <is>
          <t>were super great took me for a drive in</t>
        </is>
      </c>
      <c r="D1627">
        <f>HYPERLINK("https://www.youtube.com/watch?v=e_xh5RUvRd0&amp;t=494s", "Go to time")</f>
        <v/>
      </c>
    </row>
    <row r="1628">
      <c r="A1628">
        <f>HYPERLINK("https://www.youtube.com/watch?v=9gw5pGhWRpI", "Video")</f>
        <v/>
      </c>
      <c r="B1628" t="inlineStr">
        <is>
          <t>0:45</t>
        </is>
      </c>
      <c r="C1628" t="inlineStr">
        <is>
          <t>fly a gunship I could drive a tank how</t>
        </is>
      </c>
      <c r="D1628">
        <f>HYPERLINK("https://www.youtube.com/watch?v=9gw5pGhWRpI&amp;t=45s", "Go to time")</f>
        <v/>
      </c>
    </row>
    <row r="1629">
      <c r="A1629">
        <f>HYPERLINK("https://www.youtube.com/watch?v=15ln0m0-AKw", "Video")</f>
        <v/>
      </c>
      <c r="B1629" t="inlineStr">
        <is>
          <t>0:35</t>
        </is>
      </c>
      <c r="C1629" t="inlineStr">
        <is>
          <t>2 and squeezing into the scanner Drive</t>
        </is>
      </c>
      <c r="D1629">
        <f>HYPERLINK("https://www.youtube.com/watch?v=15ln0m0-AKw&amp;t=35s", "Go to time")</f>
        <v/>
      </c>
    </row>
    <row r="1630">
      <c r="A1630">
        <f>HYPERLINK("https://www.youtube.com/watch?v=kcuQYzW1OJk", "Video")</f>
        <v/>
      </c>
      <c r="B1630" t="inlineStr">
        <is>
          <t>2:10</t>
        </is>
      </c>
      <c r="C1630" t="inlineStr">
        <is>
          <t>well tell dick he left his driver's</t>
        </is>
      </c>
      <c r="D1630">
        <f>HYPERLINK("https://www.youtube.com/watch?v=kcuQYzW1OJk&amp;t=130s", "Go to time")</f>
        <v/>
      </c>
    </row>
    <row r="1631">
      <c r="A1631">
        <f>HYPERLINK("https://www.youtube.com/watch?v=7N91O-GKB-4", "Video")</f>
        <v/>
      </c>
      <c r="B1631" t="inlineStr">
        <is>
          <t>0:00</t>
        </is>
      </c>
      <c r="C1631" t="inlineStr">
        <is>
          <t>out of the way learn to drive someone</t>
        </is>
      </c>
      <c r="D1631">
        <f>HYPERLINK("https://www.youtube.com/watch?v=7N91O-GKB-4&amp;t=0s", "Go to time")</f>
        <v/>
      </c>
    </row>
    <row r="1632">
      <c r="A1632">
        <f>HYPERLINK("https://www.youtube.com/watch?v=sXjxSod2FgQ", "Video")</f>
        <v/>
      </c>
      <c r="B1632" t="inlineStr">
        <is>
          <t>1:03</t>
        </is>
      </c>
      <c r="C1632" t="inlineStr">
        <is>
          <t>drives to the market to buy his sausage</t>
        </is>
      </c>
      <c r="D1632">
        <f>HYPERLINK("https://www.youtube.com/watch?v=sXjxSod2FgQ&amp;t=63s", "Go to time")</f>
        <v/>
      </c>
    </row>
    <row r="1633">
      <c r="A1633">
        <f>HYPERLINK("https://www.youtube.com/watch?v=m8_h4uCUCRA", "Video")</f>
        <v/>
      </c>
      <c r="B1633" t="inlineStr">
        <is>
          <t>0:28</t>
        </is>
      </c>
      <c r="C1633" t="inlineStr">
        <is>
          <t>drives us to excel</t>
        </is>
      </c>
      <c r="D1633">
        <f>HYPERLINK("https://www.youtube.com/watch?v=m8_h4uCUCRA&amp;t=28s", "Go to time")</f>
        <v/>
      </c>
    </row>
    <row r="1634">
      <c r="A1634">
        <f>HYPERLINK("https://www.youtube.com/watch?v=sw1tJoYrs7M", "Video")</f>
        <v/>
      </c>
      <c r="B1634" t="inlineStr">
        <is>
          <t>0:38</t>
        </is>
      </c>
      <c r="C1634" t="inlineStr">
        <is>
          <t>look at its power power to drive a ship</t>
        </is>
      </c>
      <c r="D1634">
        <f>HYPERLINK("https://www.youtube.com/watch?v=sw1tJoYrs7M&amp;t=38s", "Go to time")</f>
        <v/>
      </c>
    </row>
    <row r="1635">
      <c r="A1635">
        <f>HYPERLINK("https://www.youtube.com/watch?v=9p3wackRVKQ", "Video")</f>
        <v/>
      </c>
      <c r="B1635" t="inlineStr">
        <is>
          <t>2:40</t>
        </is>
      </c>
      <c r="C1635" t="inlineStr">
        <is>
          <t>designated driver that's the deal</t>
        </is>
      </c>
      <c r="D1635">
        <f>HYPERLINK("https://www.youtube.com/watch?v=9p3wackRVKQ&amp;t=160s", "Go to time")</f>
        <v/>
      </c>
    </row>
    <row r="1636">
      <c r="A1636">
        <f>HYPERLINK("https://www.youtube.com/watch?v=zur12-IXeiU", "Video")</f>
        <v/>
      </c>
      <c r="B1636" t="inlineStr">
        <is>
          <t>25:04</t>
        </is>
      </c>
      <c r="C1636" t="inlineStr">
        <is>
          <t>an award if we win but the taxi driver</t>
        </is>
      </c>
      <c r="D1636">
        <f>HYPERLINK("https://www.youtube.com/watch?v=zur12-IXeiU&amp;t=1504s", "Go to time")</f>
        <v/>
      </c>
    </row>
    <row r="1637">
      <c r="A1637">
        <f>HYPERLINK("https://www.youtube.com/watch?v=Gp0IjCWjVK8", "Video")</f>
        <v/>
      </c>
      <c r="B1637" t="inlineStr">
        <is>
          <t>2:27</t>
        </is>
      </c>
      <c r="C1637" t="inlineStr">
        <is>
          <t>know what Jim and I are going to drive</t>
        </is>
      </c>
      <c r="D1637">
        <f>HYPERLINK("https://www.youtube.com/watch?v=Gp0IjCWjVK8&amp;t=147s", "Go to time")</f>
        <v/>
      </c>
    </row>
    <row r="1638">
      <c r="A1638">
        <f>HYPERLINK("https://www.youtube.com/watch?v=_WHdlfAJwjM", "Video")</f>
        <v/>
      </c>
      <c r="B1638" t="inlineStr">
        <is>
          <t>0:42</t>
        </is>
      </c>
      <c r="C1638" t="inlineStr">
        <is>
          <t>because these Superstars can drive on</t>
        </is>
      </c>
      <c r="D1638">
        <f>HYPERLINK("https://www.youtube.com/watch?v=_WHdlfAJwjM&amp;t=42s", "Go to time")</f>
        <v/>
      </c>
    </row>
    <row r="1639">
      <c r="A1639">
        <f>HYPERLINK("https://www.youtube.com/watch?v=boyQAPUn3pg", "Video")</f>
        <v/>
      </c>
      <c r="B1639" t="inlineStr">
        <is>
          <t>0:57</t>
        </is>
      </c>
      <c r="C1639" t="inlineStr">
        <is>
          <t>I mean they drive off into the sunset</t>
        </is>
      </c>
      <c r="D1639">
        <f>HYPERLINK("https://www.youtube.com/watch?v=boyQAPUn3pg&amp;t=57s", "Go to time")</f>
        <v/>
      </c>
    </row>
    <row r="1640">
      <c r="A1640">
        <f>HYPERLINK("https://www.youtube.com/watch?v=Xen7QBruZhk", "Video")</f>
        <v/>
      </c>
      <c r="B1640" t="inlineStr">
        <is>
          <t>0:31</t>
        </is>
      </c>
      <c r="C1640" t="inlineStr">
        <is>
          <t>car from our driveway you see we're</t>
        </is>
      </c>
      <c r="D1640">
        <f>HYPERLINK("https://www.youtube.com/watch?v=Xen7QBruZhk&amp;t=31s", "Go to time")</f>
        <v/>
      </c>
    </row>
    <row r="1641">
      <c r="A1641">
        <f>HYPERLINK("https://www.youtube.com/watch?v=Xen7QBruZhk", "Video")</f>
        <v/>
      </c>
      <c r="B1641" t="inlineStr">
        <is>
          <t>0:45</t>
        </is>
      </c>
      <c r="C1641" t="inlineStr">
        <is>
          <t>your friend that cab driver you know</t>
        </is>
      </c>
      <c r="D1641">
        <f>HYPERLINK("https://www.youtube.com/watch?v=Xen7QBruZhk&amp;t=45s", "Go to time")</f>
        <v/>
      </c>
    </row>
    <row r="1642">
      <c r="A1642">
        <f>HYPERLINK("https://www.youtube.com/watch?v=huCJPg09BZA", "Video")</f>
        <v/>
      </c>
      <c r="B1642" t="inlineStr">
        <is>
          <t>0:19</t>
        </is>
      </c>
      <c r="C1642" t="inlineStr">
        <is>
          <t>make a shitty screwdriver by the way</t>
        </is>
      </c>
      <c r="D1642">
        <f>HYPERLINK("https://www.youtube.com/watch?v=huCJPg09BZA&amp;t=19s", "Go to time")</f>
        <v/>
      </c>
    </row>
    <row r="1643">
      <c r="A1643">
        <f>HYPERLINK("https://www.youtube.com/watch?v=6QNflNakJaw", "Video")</f>
        <v/>
      </c>
      <c r="B1643" t="inlineStr">
        <is>
          <t>18:10</t>
        </is>
      </c>
      <c r="C1643" t="inlineStr">
        <is>
          <t>more emotionally driven story based</t>
        </is>
      </c>
      <c r="D1643">
        <f>HYPERLINK("https://www.youtube.com/watch?v=6QNflNakJaw&amp;t=1090s", "Go to time")</f>
        <v/>
      </c>
    </row>
    <row r="1644">
      <c r="A1644">
        <f>HYPERLINK("https://www.youtube.com/watch?v=r1g-zDnHF8E", "Video")</f>
        <v/>
      </c>
      <c r="B1644" t="inlineStr">
        <is>
          <t>1:42</t>
        </is>
      </c>
      <c r="C1644" t="inlineStr">
        <is>
          <t>drive-through on our way to a skiing</t>
        </is>
      </c>
      <c r="D1644">
        <f>HYPERLINK("https://www.youtube.com/watch?v=r1g-zDnHF8E&amp;t=102s", "Go to time")</f>
        <v/>
      </c>
    </row>
    <row r="1645">
      <c r="A1645">
        <f>HYPERLINK("https://www.youtube.com/watch?v=c7F1h_Mdgns", "Video")</f>
        <v/>
      </c>
      <c r="B1645" t="inlineStr">
        <is>
          <t>1:42</t>
        </is>
      </c>
      <c r="C1645" t="inlineStr">
        <is>
          <t>what I look for in an Uber driver not a</t>
        </is>
      </c>
      <c r="D1645">
        <f>HYPERLINK("https://www.youtube.com/watch?v=c7F1h_Mdgns&amp;t=102s", "Go to time")</f>
        <v/>
      </c>
    </row>
    <row r="1646">
      <c r="A1646">
        <f>HYPERLINK("https://www.youtube.com/watch?v=JhxSAh89mFw", "Video")</f>
        <v/>
      </c>
      <c r="B1646" t="inlineStr">
        <is>
          <t>0:49</t>
        </is>
      </c>
      <c r="C1646" t="inlineStr">
        <is>
          <t>picking up the driver</t>
        </is>
      </c>
      <c r="D1646">
        <f>HYPERLINK("https://www.youtube.com/watch?v=JhxSAh89mFw&amp;t=49s", "Go to time")</f>
        <v/>
      </c>
    </row>
    <row r="1647">
      <c r="A1647">
        <f>HYPERLINK("https://www.youtube.com/watch?v=JhxSAh89mFw", "Video")</f>
        <v/>
      </c>
      <c r="B1647" t="inlineStr">
        <is>
          <t>1:24</t>
        </is>
      </c>
      <c r="C1647" t="inlineStr">
        <is>
          <t>back this demonic driver picked a fight</t>
        </is>
      </c>
      <c r="D1647">
        <f>HYPERLINK("https://www.youtube.com/watch?v=JhxSAh89mFw&amp;t=84s", "Go to time")</f>
        <v/>
      </c>
    </row>
    <row r="1648">
      <c r="A1648">
        <f>HYPERLINK("https://www.youtube.com/watch?v=m6E1U3BkHXo", "Video")</f>
        <v/>
      </c>
      <c r="B1648" t="inlineStr">
        <is>
          <t>25:02</t>
        </is>
      </c>
      <c r="C1648" t="inlineStr">
        <is>
          <t>beings are so emotionally driven I love</t>
        </is>
      </c>
      <c r="D1648">
        <f>HYPERLINK("https://www.youtube.com/watch?v=m6E1U3BkHXo&amp;t=1502s", "Go to time")</f>
        <v/>
      </c>
    </row>
    <row r="1649">
      <c r="A1649">
        <f>HYPERLINK("https://www.youtube.com/watch?v=ffy6GW0D3Rk", "Video")</f>
        <v/>
      </c>
      <c r="B1649" t="inlineStr">
        <is>
          <t>0:58</t>
        </is>
      </c>
      <c r="C1649" t="inlineStr">
        <is>
          <t>out did you see this drive in here</t>
        </is>
      </c>
      <c r="D1649">
        <f>HYPERLINK("https://www.youtube.com/watch?v=ffy6GW0D3Rk&amp;t=58s", "Go to time")</f>
        <v/>
      </c>
    </row>
    <row r="1650">
      <c r="A1650">
        <f>HYPERLINK("https://www.youtube.com/watch?v=fW__igaGM5g", "Video")</f>
        <v/>
      </c>
      <c r="B1650" t="inlineStr">
        <is>
          <t>0:09</t>
        </is>
      </c>
      <c r="C1650" t="inlineStr">
        <is>
          <t>a wedding to get to don't let him drive</t>
        </is>
      </c>
      <c r="D1650">
        <f>HYPERLINK("https://www.youtube.com/watch?v=fW__igaGM5g&amp;t=9s", "Go to time")</f>
        <v/>
      </c>
    </row>
    <row r="1651">
      <c r="A1651">
        <f>HYPERLINK("https://www.youtube.com/watch?v=fW__igaGM5g", "Video")</f>
        <v/>
      </c>
      <c r="B1651" t="inlineStr">
        <is>
          <t>0:41</t>
        </is>
      </c>
      <c r="C1651" t="inlineStr">
        <is>
          <t>cop just happens to drive by okay let's</t>
        </is>
      </c>
      <c r="D1651">
        <f>HYPERLINK("https://www.youtube.com/watch?v=fW__igaGM5g&amp;t=41s", "Go to time")</f>
        <v/>
      </c>
    </row>
    <row r="1652">
      <c r="A1652">
        <f>HYPERLINK("https://www.youtube.com/watch?v=wZcaZIcuTro", "Video")</f>
        <v/>
      </c>
      <c r="B1652" t="inlineStr">
        <is>
          <t>1:33</t>
        </is>
      </c>
      <c r="C1652" t="inlineStr">
        <is>
          <t>happy just drive</t>
        </is>
      </c>
      <c r="D1652">
        <f>HYPERLINK("https://www.youtube.com/watch?v=wZcaZIcuTro&amp;t=93s", "Go to time")</f>
        <v/>
      </c>
    </row>
    <row r="1653">
      <c r="A1653">
        <f>HYPERLINK("https://www.youtube.com/watch?v=cnxddn9F01s", "Video")</f>
        <v/>
      </c>
      <c r="B1653" t="inlineStr">
        <is>
          <t>6:17</t>
        </is>
      </c>
      <c r="C1653" t="inlineStr">
        <is>
          <t>Dearborn Drive in all belongings therein</t>
        </is>
      </c>
      <c r="D1653">
        <f>HYPERLINK("https://www.youtube.com/watch?v=cnxddn9F01s&amp;t=377s", "Go to time")</f>
        <v/>
      </c>
    </row>
    <row r="1654">
      <c r="A1654">
        <f>HYPERLINK("https://www.youtube.com/watch?v=cnxddn9F01s", "Video")</f>
        <v/>
      </c>
      <c r="B1654" t="inlineStr">
        <is>
          <t>21:40</t>
        </is>
      </c>
      <c r="C1654" t="inlineStr">
        <is>
          <t>and Barton me we can drive you</t>
        </is>
      </c>
      <c r="D1654">
        <f>HYPERLINK("https://www.youtube.com/watch?v=cnxddn9F01s&amp;t=1300s", "Go to time")</f>
        <v/>
      </c>
    </row>
    <row r="1655">
      <c r="A1655">
        <f>HYPERLINK("https://www.youtube.com/watch?v=280XthsaIAE", "Video")</f>
        <v/>
      </c>
      <c r="B1655" t="inlineStr">
        <is>
          <t>0:48</t>
        </is>
      </c>
      <c r="C1655" t="inlineStr">
        <is>
          <t>drive as fast as you can</t>
        </is>
      </c>
      <c r="D1655">
        <f>HYPERLINK("https://www.youtube.com/watch?v=280XthsaIAE&amp;t=48s", "Go to time")</f>
        <v/>
      </c>
    </row>
    <row r="1656">
      <c r="A1656">
        <f>HYPERLINK("https://www.youtube.com/watch?v=1ducf3XJJ5c", "Video")</f>
        <v/>
      </c>
      <c r="B1656" t="inlineStr">
        <is>
          <t>29:31</t>
        </is>
      </c>
      <c r="C1656" t="inlineStr">
        <is>
          <t>is to that poor driver yeah yeah yeah</t>
        </is>
      </c>
      <c r="D1656">
        <f>HYPERLINK("https://www.youtube.com/watch?v=1ducf3XJJ5c&amp;t=1771s", "Go to time")</f>
        <v/>
      </c>
    </row>
    <row r="1657">
      <c r="A1657">
        <f>HYPERLINK("https://www.youtube.com/watch?v=fWXtiJIW084", "Video")</f>
        <v/>
      </c>
      <c r="B1657" t="inlineStr">
        <is>
          <t>2:43</t>
        </is>
      </c>
      <c r="C1657" t="inlineStr">
        <is>
          <t>to the driver's side but before he could</t>
        </is>
      </c>
      <c r="D1657">
        <f>HYPERLINK("https://www.youtube.com/watch?v=fWXtiJIW084&amp;t=163s", "Go to time")</f>
        <v/>
      </c>
    </row>
    <row r="1658">
      <c r="A1658">
        <f>HYPERLINK("https://www.youtube.com/watch?v=yQMTHffP3DE", "Video")</f>
        <v/>
      </c>
      <c r="B1658" t="inlineStr">
        <is>
          <t>2:58</t>
        </is>
      </c>
      <c r="C1658" t="inlineStr">
        <is>
          <t>gonna let me test drive that thing</t>
        </is>
      </c>
      <c r="D1658">
        <f>HYPERLINK("https://www.youtube.com/watch?v=yQMTHffP3DE&amp;t=178s", "Go to time")</f>
        <v/>
      </c>
    </row>
    <row r="1659">
      <c r="A1659">
        <f>HYPERLINK("https://www.youtube.com/watch?v=yQMTHffP3DE", "Video")</f>
        <v/>
      </c>
      <c r="B1659" t="inlineStr">
        <is>
          <t>3:02</t>
        </is>
      </c>
      <c r="C1659" t="inlineStr">
        <is>
          <t>ever let you drive my whip</t>
        </is>
      </c>
      <c r="D1659">
        <f>HYPERLINK("https://www.youtube.com/watch?v=yQMTHffP3DE&amp;t=182s", "Go to time")</f>
        <v/>
      </c>
    </row>
    <row r="1660">
      <c r="A1660">
        <f>HYPERLINK("https://www.youtube.com/watch?v=8hH83JZvRsk", "Video")</f>
        <v/>
      </c>
      <c r="B1660" t="inlineStr">
        <is>
          <t>1:32</t>
        </is>
      </c>
      <c r="C1660" t="inlineStr">
        <is>
          <t>drive it up to the country</t>
        </is>
      </c>
      <c r="D1660">
        <f>HYPERLINK("https://www.youtube.com/watch?v=8hH83JZvRsk&amp;t=92s", "Go to time")</f>
        <v/>
      </c>
    </row>
    <row r="1661">
      <c r="A1661">
        <f>HYPERLINK("https://www.youtube.com/watch?v=UT0pi0iwlBI", "Video")</f>
        <v/>
      </c>
      <c r="B1661" t="inlineStr">
        <is>
          <t>0:37</t>
        </is>
      </c>
      <c r="C1661" t="inlineStr">
        <is>
          <t>there's no way you could drive this van</t>
        </is>
      </c>
      <c r="D1661">
        <f>HYPERLINK("https://www.youtube.com/watch?v=UT0pi0iwlBI&amp;t=37s", "Go to time")</f>
        <v/>
      </c>
    </row>
    <row r="1662">
      <c r="A1662">
        <f>HYPERLINK("https://www.youtube.com/watch?v=Aa3z-zbfhyY", "Video")</f>
        <v/>
      </c>
      <c r="B1662" t="inlineStr">
        <is>
          <t>1:24</t>
        </is>
      </c>
      <c r="C1662" t="inlineStr">
        <is>
          <t>i'd like you to drive me to todd's house</t>
        </is>
      </c>
      <c r="D1662">
        <f>HYPERLINK("https://www.youtube.com/watch?v=Aa3z-zbfhyY&amp;t=84s", "Go to time")</f>
        <v/>
      </c>
    </row>
    <row r="1663">
      <c r="A1663">
        <f>HYPERLINK("https://www.youtube.com/watch?v=d32HSzCjzY4", "Video")</f>
        <v/>
      </c>
      <c r="B1663" t="inlineStr">
        <is>
          <t>4:58</t>
        </is>
      </c>
      <c r="C1663" t="inlineStr">
        <is>
          <t>get up under my skin and drive me</t>
        </is>
      </c>
      <c r="D1663">
        <f>HYPERLINK("https://www.youtube.com/watch?v=d32HSzCjzY4&amp;t=298s", "Go to time")</f>
        <v/>
      </c>
    </row>
    <row r="1664">
      <c r="A1664">
        <f>HYPERLINK("https://www.youtube.com/watch?v=d_rDUDH8mAs", "Video")</f>
        <v/>
      </c>
      <c r="B1664" t="inlineStr">
        <is>
          <t>4:06</t>
        </is>
      </c>
      <c r="C1664" t="inlineStr">
        <is>
          <t>I understand you have this drive,</t>
        </is>
      </c>
      <c r="D1664">
        <f>HYPERLINK("https://www.youtube.com/watch?v=d_rDUDH8mAs&amp;t=246s", "Go to time")</f>
        <v/>
      </c>
    </row>
    <row r="1665">
      <c r="A1665">
        <f>HYPERLINK("https://www.youtube.com/watch?v=B4JrUKDRClQ", "Video")</f>
        <v/>
      </c>
      <c r="B1665" t="inlineStr">
        <is>
          <t>0:03</t>
        </is>
      </c>
      <c r="C1665" t="inlineStr">
        <is>
          <t>with a Lyft driver at 2am,</t>
        </is>
      </c>
      <c r="D1665">
        <f>HYPERLINK("https://www.youtube.com/watch?v=B4JrUKDRClQ&amp;t=3s", "Go to time")</f>
        <v/>
      </c>
    </row>
    <row r="1666">
      <c r="A1666">
        <f>HYPERLINK("https://www.youtube.com/watch?v=CuAyrwGVvRw", "Video")</f>
        <v/>
      </c>
      <c r="B1666" t="inlineStr">
        <is>
          <t>3:39</t>
        </is>
      </c>
      <c r="C1666" t="inlineStr">
        <is>
          <t>drive your car and not hit people I have</t>
        </is>
      </c>
      <c r="D1666">
        <f>HYPERLINK("https://www.youtube.com/watch?v=CuAyrwGVvRw&amp;t=219s", "Go to time")</f>
        <v/>
      </c>
    </row>
    <row r="1667">
      <c r="A1667">
        <f>HYPERLINK("https://www.youtube.com/watch?v=bmAFaf71DRc", "Video")</f>
        <v/>
      </c>
      <c r="B1667" t="inlineStr">
        <is>
          <t>1:50</t>
        </is>
      </c>
      <c r="C1667" t="inlineStr">
        <is>
          <t>My driver would have picked her up.</t>
        </is>
      </c>
      <c r="D1667">
        <f>HYPERLINK("https://www.youtube.com/watch?v=bmAFaf71DRc&amp;t=110s", "Go to time")</f>
        <v/>
      </c>
    </row>
    <row r="1668">
      <c r="A1668">
        <f>HYPERLINK("https://www.youtube.com/watch?v=OxrMUdMxuXc", "Video")</f>
        <v/>
      </c>
      <c r="B1668" t="inlineStr">
        <is>
          <t>0:48</t>
        </is>
      </c>
      <c r="C1668" t="inlineStr">
        <is>
          <t>I would drive over the hill to Jim Carrey's
house to help him with stuff, jokes, sketches</t>
        </is>
      </c>
      <c r="D1668">
        <f>HYPERLINK("https://www.youtube.com/watch?v=OxrMUdMxuXc&amp;t=48s", "Go to time")</f>
        <v/>
      </c>
    </row>
    <row r="1669">
      <c r="A1669">
        <f>HYPERLINK("https://www.youtube.com/watch?v=MOjhZCJbd9Y", "Video")</f>
        <v/>
      </c>
      <c r="B1669" t="inlineStr">
        <is>
          <t>0:29</t>
        </is>
      </c>
      <c r="C1669" t="inlineStr">
        <is>
          <t>So you mean to tell me they found
 Jenni Rivera's driver's license,</t>
        </is>
      </c>
      <c r="D1669">
        <f>HYPERLINK("https://www.youtube.com/watch?v=MOjhZCJbd9Y&amp;t=29s", "Go to time")</f>
        <v/>
      </c>
    </row>
    <row r="1670">
      <c r="A1670">
        <f>HYPERLINK("https://www.youtube.com/watch?v=xFqgyvJquNg", "Video")</f>
        <v/>
      </c>
      <c r="B1670" t="inlineStr">
        <is>
          <t>7:36</t>
        </is>
      </c>
      <c r="C1670" t="inlineStr">
        <is>
          <t>me for talking too much to the drivers</t>
        </is>
      </c>
      <c r="D1670">
        <f>HYPERLINK("https://www.youtube.com/watch?v=xFqgyvJquNg&amp;t=456s", "Go to time")</f>
        <v/>
      </c>
    </row>
    <row r="1671">
      <c r="A1671">
        <f>HYPERLINK("https://www.youtube.com/watch?v=4Z1tud60uWY", "Video")</f>
        <v/>
      </c>
      <c r="B1671" t="inlineStr">
        <is>
          <t>7:14</t>
        </is>
      </c>
      <c r="C1671" t="inlineStr">
        <is>
          <t>driveway why don't you like her she's</t>
        </is>
      </c>
      <c r="D1671">
        <f>HYPERLINK("https://www.youtube.com/watch?v=4Z1tud60uWY&amp;t=434s", "Go to time")</f>
        <v/>
      </c>
    </row>
    <row r="1672">
      <c r="A1672">
        <f>HYPERLINK("https://www.youtube.com/watch?v=49FJj9HHoZo", "Video")</f>
        <v/>
      </c>
      <c r="B1672" t="inlineStr">
        <is>
          <t>4:14</t>
        </is>
      </c>
      <c r="C1672" t="inlineStr">
        <is>
          <t>would I be angry just because I drive to</t>
        </is>
      </c>
      <c r="D1672">
        <f>HYPERLINK("https://www.youtube.com/watch?v=49FJj9HHoZo&amp;t=254s", "Go to time")</f>
        <v/>
      </c>
    </row>
    <row r="1673">
      <c r="A1673">
        <f>HYPERLINK("https://www.youtube.com/watch?v=lNDk-BYeLT8", "Video")</f>
        <v/>
      </c>
      <c r="B1673" t="inlineStr">
        <is>
          <t>0:02</t>
        </is>
      </c>
      <c r="C1673" t="inlineStr">
        <is>
          <t>Drive</t>
        </is>
      </c>
      <c r="D1673">
        <f>HYPERLINK("https://www.youtube.com/watch?v=lNDk-BYeLT8&amp;t=2s", "Go to time")</f>
        <v/>
      </c>
    </row>
    <row r="1674">
      <c r="A1674">
        <f>HYPERLINK("https://www.youtube.com/watch?v=lNDk-BYeLT8", "Video")</f>
        <v/>
      </c>
      <c r="B1674" t="inlineStr">
        <is>
          <t>0:41</t>
        </is>
      </c>
      <c r="C1674" t="inlineStr">
        <is>
          <t>drive get</t>
        </is>
      </c>
      <c r="D1674">
        <f>HYPERLINK("https://www.youtube.com/watch?v=lNDk-BYeLT8&amp;t=41s", "Go to time")</f>
        <v/>
      </c>
    </row>
    <row r="1675">
      <c r="A1675">
        <f>HYPERLINK("https://www.youtube.com/watch?v=P-UE5xZyMjM", "Video")</f>
        <v/>
      </c>
      <c r="B1675" t="inlineStr">
        <is>
          <t>9:22</t>
        </is>
      </c>
      <c r="C1675" t="inlineStr">
        <is>
          <t>Like whether to let him drive at 16.</t>
        </is>
      </c>
      <c r="D1675">
        <f>HYPERLINK("https://www.youtube.com/watch?v=P-UE5xZyMjM&amp;t=562s", "Go to time")</f>
        <v/>
      </c>
    </row>
    <row r="1676">
      <c r="A1676">
        <f>HYPERLINK("https://www.youtube.com/watch?v=QSIyP1GOZXE", "Video")</f>
        <v/>
      </c>
      <c r="B1676" t="inlineStr">
        <is>
          <t>0:44</t>
        </is>
      </c>
      <c r="C1676" t="inlineStr">
        <is>
          <t>all this [ __ ] and I Drive you down to</t>
        </is>
      </c>
      <c r="D1676">
        <f>HYPERLINK("https://www.youtube.com/watch?v=QSIyP1GOZXE&amp;t=44s", "Go to time")</f>
        <v/>
      </c>
    </row>
    <row r="1677">
      <c r="A1677">
        <f>HYPERLINK("https://www.youtube.com/watch?v=CsSv8Bmgdkw", "Video")</f>
        <v/>
      </c>
      <c r="B1677" t="inlineStr">
        <is>
          <t>4:05</t>
        </is>
      </c>
      <c r="C1677" t="inlineStr">
        <is>
          <t>their agendas. Take a drive down Main Street</t>
        </is>
      </c>
      <c r="D1677">
        <f>HYPERLINK("https://www.youtube.com/watch?v=CsSv8Bmgdkw&amp;t=245s", "Go to time")</f>
        <v/>
      </c>
    </row>
    <row r="1678">
      <c r="A1678">
        <f>HYPERLINK("https://www.youtube.com/watch?v=W3bXHqQjkiU", "Video")</f>
        <v/>
      </c>
      <c r="B1678" t="inlineStr">
        <is>
          <t>0:04</t>
        </is>
      </c>
      <c r="C1678" t="inlineStr">
        <is>
          <t>it takes drive it takes passion it takes</t>
        </is>
      </c>
      <c r="D1678">
        <f>HYPERLINK("https://www.youtube.com/watch?v=W3bXHqQjkiU&amp;t=4s", "Go to time")</f>
        <v/>
      </c>
    </row>
    <row r="1679">
      <c r="A1679">
        <f>HYPERLINK("https://www.youtube.com/watch?v=eGCvwK0KL_8", "Video")</f>
        <v/>
      </c>
      <c r="B1679" t="inlineStr">
        <is>
          <t>2:52</t>
        </is>
      </c>
      <c r="C1679" t="inlineStr">
        <is>
          <t>you say I drive us home how about that</t>
        </is>
      </c>
      <c r="D1679">
        <f>HYPERLINK("https://www.youtube.com/watch?v=eGCvwK0KL_8&amp;t=172s", "Go to time")</f>
        <v/>
      </c>
    </row>
    <row r="1680">
      <c r="A1680">
        <f>HYPERLINK("https://www.youtube.com/watch?v=eGCvwK0KL_8", "Video")</f>
        <v/>
      </c>
      <c r="B1680" t="inlineStr">
        <is>
          <t>4:33</t>
        </is>
      </c>
      <c r="C1680" t="inlineStr">
        <is>
          <t>driver's license and no chance at</t>
        </is>
      </c>
      <c r="D1680">
        <f>HYPERLINK("https://www.youtube.com/watch?v=eGCvwK0KL_8&amp;t=273s", "Go to time")</f>
        <v/>
      </c>
    </row>
    <row r="1681">
      <c r="A1681">
        <f>HYPERLINK("https://www.youtube.com/watch?v=eGCvwK0KL_8", "Video")</f>
        <v/>
      </c>
      <c r="B1681" t="inlineStr">
        <is>
          <t>5:13</t>
        </is>
      </c>
      <c r="C1681" t="inlineStr">
        <is>
          <t>and then hire someone to drive it for</t>
        </is>
      </c>
      <c r="D1681">
        <f>HYPERLINK("https://www.youtube.com/watch?v=eGCvwK0KL_8&amp;t=313s", "Go to time")</f>
        <v/>
      </c>
    </row>
    <row r="1682">
      <c r="A1682">
        <f>HYPERLINK("https://www.youtube.com/watch?v=eGCvwK0KL_8", "Video")</f>
        <v/>
      </c>
      <c r="B1682" t="inlineStr">
        <is>
          <t>5:16</t>
        </is>
      </c>
      <c r="C1682" t="inlineStr">
        <is>
          <t>go-getter with a valid yacht driver's</t>
        </is>
      </c>
      <c r="D1682">
        <f>HYPERLINK("https://www.youtube.com/watch?v=eGCvwK0KL_8&amp;t=316s", "Go to time")</f>
        <v/>
      </c>
    </row>
    <row r="1683">
      <c r="A1683">
        <f>HYPERLINK("https://www.youtube.com/watch?v=ZWn-qFriJwU", "Video")</f>
        <v/>
      </c>
      <c r="B1683" t="inlineStr">
        <is>
          <t>6:28</t>
        </is>
      </c>
      <c r="C1683" t="inlineStr">
        <is>
          <t>Always good to exercise after a long drive.</t>
        </is>
      </c>
      <c r="D1683">
        <f>HYPERLINK("https://www.youtube.com/watch?v=ZWn-qFriJwU&amp;t=388s", "Go to time")</f>
        <v/>
      </c>
    </row>
    <row r="1684">
      <c r="A1684">
        <f>HYPERLINK("https://www.youtube.com/watch?v=BRrz-755PWU", "Video")</f>
        <v/>
      </c>
      <c r="B1684" t="inlineStr">
        <is>
          <t>0:15</t>
        </is>
      </c>
      <c r="C1684" t="inlineStr">
        <is>
          <t>well how's i've driven on the freeway</t>
        </is>
      </c>
      <c r="D1684">
        <f>HYPERLINK("https://www.youtube.com/watch?v=BRrz-755PWU&amp;t=15s", "Go to time")</f>
        <v/>
      </c>
    </row>
    <row r="1685">
      <c r="A1685">
        <f>HYPERLINK("https://www.youtube.com/watch?v=2tBT7S5KvIM", "Video")</f>
        <v/>
      </c>
      <c r="B1685" t="inlineStr">
        <is>
          <t>3:33</t>
        </is>
      </c>
      <c r="C1685" t="inlineStr">
        <is>
          <t>that always drives you</t>
        </is>
      </c>
      <c r="D1685">
        <f>HYPERLINK("https://www.youtube.com/watch?v=2tBT7S5KvIM&amp;t=213s", "Go to time")</f>
        <v/>
      </c>
    </row>
    <row r="1686">
      <c r="A1686">
        <f>HYPERLINK("https://www.youtube.com/watch?v=CRgzZh4HbxM", "Video")</f>
        <v/>
      </c>
      <c r="B1686" t="inlineStr">
        <is>
          <t>0:00</t>
        </is>
      </c>
      <c r="C1686" t="inlineStr">
        <is>
          <t>did they did the FBI tell you to drive</t>
        </is>
      </c>
      <c r="D1686">
        <f>HYPERLINK("https://www.youtube.com/watch?v=CRgzZh4HbxM&amp;t=0s", "Go to time")</f>
        <v/>
      </c>
    </row>
    <row r="1687">
      <c r="A1687">
        <f>HYPERLINK("https://www.youtube.com/watch?v=CRgzZh4HbxM", "Video")</f>
        <v/>
      </c>
      <c r="B1687" t="inlineStr">
        <is>
          <t>1:08</t>
        </is>
      </c>
      <c r="C1687" t="inlineStr">
        <is>
          <t>drive because that would be violating</t>
        </is>
      </c>
      <c r="D1687">
        <f>HYPERLINK("https://www.youtube.com/watch?v=CRgzZh4HbxM&amp;t=68s", "Go to time")</f>
        <v/>
      </c>
    </row>
    <row r="1688">
      <c r="A1688">
        <f>HYPERLINK("https://www.youtube.com/watch?v=EmZa240cLik", "Video")</f>
        <v/>
      </c>
      <c r="B1688" t="inlineStr">
        <is>
          <t>0:21</t>
        </is>
      </c>
      <c r="C1688" t="inlineStr">
        <is>
          <t>Steven is driven.</t>
        </is>
      </c>
      <c r="D1688">
        <f>HYPERLINK("https://www.youtube.com/watch?v=EmZa240cLik&amp;t=21s", "Go to time")</f>
        <v/>
      </c>
    </row>
    <row r="1689">
      <c r="A1689">
        <f>HYPERLINK("https://www.youtube.com/watch?v=bhaiIqTqC5M", "Video")</f>
        <v/>
      </c>
      <c r="B1689" t="inlineStr">
        <is>
          <t>2:41</t>
        </is>
      </c>
      <c r="C1689" t="inlineStr">
        <is>
          <t>i'll drive you</t>
        </is>
      </c>
      <c r="D1689">
        <f>HYPERLINK("https://www.youtube.com/watch?v=bhaiIqTqC5M&amp;t=161s", "Go to time")</f>
        <v/>
      </c>
    </row>
    <row r="1690">
      <c r="A1690">
        <f>HYPERLINK("https://www.youtube.com/watch?v=9YnkOQ51BNM", "Video")</f>
        <v/>
      </c>
      <c r="B1690" t="inlineStr">
        <is>
          <t>4:47</t>
        </is>
      </c>
      <c r="C1690" t="inlineStr">
        <is>
          <t>or you can drive yourself into an early</t>
        </is>
      </c>
      <c r="D1690">
        <f>HYPERLINK("https://www.youtube.com/watch?v=9YnkOQ51BNM&amp;t=287s", "Go to time")</f>
        <v/>
      </c>
    </row>
    <row r="1691">
      <c r="A1691">
        <f>HYPERLINK("https://www.youtube.com/watch?v=mNHJBnuYSGk", "Video")</f>
        <v/>
      </c>
      <c r="B1691" t="inlineStr">
        <is>
          <t>3:45</t>
        </is>
      </c>
      <c r="C1691" t="inlineStr">
        <is>
          <t>So we got to drive 25 miles with a four foot
high cake strapped to her hood.</t>
        </is>
      </c>
      <c r="D1691">
        <f>HYPERLINK("https://www.youtube.com/watch?v=mNHJBnuYSGk&amp;t=225s", "Go to time")</f>
        <v/>
      </c>
    </row>
    <row r="1692">
      <c r="A1692">
        <f>HYPERLINK("https://www.youtube.com/watch?v=DbbeOub0AwE", "Video")</f>
        <v/>
      </c>
      <c r="B1692" t="inlineStr">
        <is>
          <t>10:17</t>
        </is>
      </c>
      <c r="C1692" t="inlineStr">
        <is>
          <t>right stick shift I can't drive stick</t>
        </is>
      </c>
      <c r="D1692">
        <f>HYPERLINK("https://www.youtube.com/watch?v=DbbeOub0AwE&amp;t=617s", "Go to time")</f>
        <v/>
      </c>
    </row>
    <row r="1693">
      <c r="A1693">
        <f>HYPERLINK("https://www.youtube.com/watch?v=DbbeOub0AwE", "Video")</f>
        <v/>
      </c>
      <c r="B1693" t="inlineStr">
        <is>
          <t>10:21</t>
        </is>
      </c>
      <c r="C1693" t="inlineStr">
        <is>
          <t>shift you're going to have to drive how</t>
        </is>
      </c>
      <c r="D1693">
        <f>HYPERLINK("https://www.youtube.com/watch?v=DbbeOub0AwE&amp;t=621s", "Go to time")</f>
        <v/>
      </c>
    </row>
    <row r="1694">
      <c r="A1694">
        <f>HYPERLINK("https://www.youtube.com/watch?v=DbbeOub0AwE", "Video")</f>
        <v/>
      </c>
      <c r="B1694" t="inlineStr">
        <is>
          <t>10:33</t>
        </is>
      </c>
      <c r="C1694" t="inlineStr">
        <is>
          <t>out we are the best driver in the world</t>
        </is>
      </c>
      <c r="D1694">
        <f>HYPERLINK("https://www.youtube.com/watch?v=DbbeOub0AwE&amp;t=633s", "Go to time")</f>
        <v/>
      </c>
    </row>
    <row r="1695">
      <c r="A1695">
        <f>HYPERLINK("https://www.youtube.com/watch?v=vczvenJI8ug", "Video")</f>
        <v/>
      </c>
      <c r="B1695" t="inlineStr">
        <is>
          <t>1:29</t>
        </is>
      </c>
      <c r="C1695" t="inlineStr">
        <is>
          <t>uh vengeance drives him yeah it seems</t>
        </is>
      </c>
      <c r="D1695">
        <f>HYPERLINK("https://www.youtube.com/watch?v=vczvenJI8ug&amp;t=89s", "Go to time")</f>
        <v/>
      </c>
    </row>
    <row r="1696">
      <c r="A1696">
        <f>HYPERLINK("https://www.youtube.com/watch?v=zX3ph5T-yek", "Video")</f>
        <v/>
      </c>
      <c r="B1696" t="inlineStr">
        <is>
          <t>0:36</t>
        </is>
      </c>
      <c r="C1696" t="inlineStr">
        <is>
          <t>but so close it drives you crazy</t>
        </is>
      </c>
      <c r="D1696">
        <f>HYPERLINK("https://www.youtube.com/watch?v=zX3ph5T-yek&amp;t=36s", "Go to time")</f>
        <v/>
      </c>
    </row>
    <row r="1697">
      <c r="A1697">
        <f>HYPERLINK("https://www.youtube.com/watch?v=6xonRI8jlBc", "Video")</f>
        <v/>
      </c>
      <c r="B1697" t="inlineStr">
        <is>
          <t>0:14</t>
        </is>
      </c>
      <c r="C1697" t="inlineStr">
        <is>
          <t>you know what I should drive you there</t>
        </is>
      </c>
      <c r="D1697">
        <f>HYPERLINK("https://www.youtube.com/watch?v=6xonRI8jlBc&amp;t=14s", "Go to time")</f>
        <v/>
      </c>
    </row>
    <row r="1698">
      <c r="A1698">
        <f>HYPERLINK("https://www.youtube.com/watch?v=9IJBbSXrifg", "Video")</f>
        <v/>
      </c>
      <c r="B1698" t="inlineStr">
        <is>
          <t>2:14</t>
        </is>
      </c>
      <c r="C1698" t="inlineStr">
        <is>
          <t>drive I'll Club some mailboxes come</t>
        </is>
      </c>
      <c r="D1698">
        <f>HYPERLINK("https://www.youtube.com/watch?v=9IJBbSXrifg&amp;t=134s", "Go to time")</f>
        <v/>
      </c>
    </row>
    <row r="1699">
      <c r="A1699">
        <f>HYPERLINK("https://www.youtube.com/watch?v=9IJBbSXrifg", "Video")</f>
        <v/>
      </c>
      <c r="B1699" t="inlineStr">
        <is>
          <t>4:25</t>
        </is>
      </c>
      <c r="C1699" t="inlineStr">
        <is>
          <t>do is cash my check and drive right home</t>
        </is>
      </c>
      <c r="D1699">
        <f>HYPERLINK("https://www.youtube.com/watch?v=9IJBbSXrifg&amp;t=265s", "Go to time")</f>
        <v/>
      </c>
    </row>
    <row r="1700">
      <c r="A1700">
        <f>HYPERLINK("https://www.youtube.com/watch?v=y8fGHC0aicQ", "Video")</f>
        <v/>
      </c>
      <c r="B1700" t="inlineStr">
        <is>
          <t>0:16</t>
        </is>
      </c>
      <c r="C1700" t="inlineStr">
        <is>
          <t>hunky dory I live at the beach drive a</t>
        </is>
      </c>
      <c r="D1700">
        <f>HYPERLINK("https://www.youtube.com/watch?v=y8fGHC0aicQ&amp;t=16s", "Go to time")</f>
        <v/>
      </c>
    </row>
    <row r="1701">
      <c r="A1701">
        <f>HYPERLINK("https://www.youtube.com/watch?v=GrO2WGG7XXc", "Video")</f>
        <v/>
      </c>
      <c r="B1701" t="inlineStr">
        <is>
          <t>1:19</t>
        </is>
      </c>
      <c r="C1701" t="inlineStr">
        <is>
          <t>get up under my skin and drive me</t>
        </is>
      </c>
      <c r="D1701">
        <f>HYPERLINK("https://www.youtube.com/watch?v=GrO2WGG7XXc&amp;t=79s", "Go to time")</f>
        <v/>
      </c>
    </row>
    <row r="1702">
      <c r="A1702">
        <f>HYPERLINK("https://www.youtube.com/watch?v=T_dbLIriu9o", "Video")</f>
        <v/>
      </c>
      <c r="B1702" t="inlineStr">
        <is>
          <t>0:47</t>
        </is>
      </c>
      <c r="C1702" t="inlineStr">
        <is>
          <t>Crown it's a little Drive I don't want</t>
        </is>
      </c>
      <c r="D1702">
        <f>HYPERLINK("https://www.youtube.com/watch?v=T_dbLIriu9o&amp;t=47s", "Go to time")</f>
        <v/>
      </c>
    </row>
    <row r="1703">
      <c r="A1703">
        <f>HYPERLINK("https://www.youtube.com/watch?v=I1UGE8d3t1g", "Video")</f>
        <v/>
      </c>
      <c r="B1703" t="inlineStr">
        <is>
          <t>5:04</t>
        </is>
      </c>
      <c r="C1703" t="inlineStr">
        <is>
          <t>can't drive it quiz mike</t>
        </is>
      </c>
      <c r="D1703">
        <f>HYPERLINK("https://www.youtube.com/watch?v=I1UGE8d3t1g&amp;t=304s", "Go to time")</f>
        <v/>
      </c>
    </row>
    <row r="1704">
      <c r="A1704">
        <f>HYPERLINK("https://www.youtube.com/watch?v=I1UGE8d3t1g", "Video")</f>
        <v/>
      </c>
      <c r="B1704" t="inlineStr">
        <is>
          <t>5:07</t>
        </is>
      </c>
      <c r="C1704" t="inlineStr">
        <is>
          <t>should you drive the forklift i can and</t>
        </is>
      </c>
      <c r="D1704">
        <f>HYPERLINK("https://www.youtube.com/watch?v=I1UGE8d3t1g&amp;t=307s", "Go to time")</f>
        <v/>
      </c>
    </row>
    <row r="1705">
      <c r="A1705">
        <f>HYPERLINK("https://www.youtube.com/watch?v=I1UGE8d3t1g", "Video")</f>
        <v/>
      </c>
      <c r="B1705" t="inlineStr">
        <is>
          <t>5:10</t>
        </is>
      </c>
      <c r="C1705" t="inlineStr">
        <is>
          <t>i said should you you should not drive</t>
        </is>
      </c>
      <c r="D1705">
        <f>HYPERLINK("https://www.youtube.com/watch?v=I1UGE8d3t1g&amp;t=310s", "Go to time")</f>
        <v/>
      </c>
    </row>
    <row r="1706">
      <c r="A1706">
        <f>HYPERLINK("https://www.youtube.com/watch?v=I1UGE8d3t1g", "Video")</f>
        <v/>
      </c>
      <c r="B1706" t="inlineStr">
        <is>
          <t>5:12</t>
        </is>
      </c>
      <c r="C1706" t="inlineStr">
        <is>
          <t>it you should not drive the forklift</t>
        </is>
      </c>
      <c r="D1706">
        <f>HYPERLINK("https://www.youtube.com/watch?v=I1UGE8d3t1g&amp;t=312s", "Go to time")</f>
        <v/>
      </c>
    </row>
    <row r="1707">
      <c r="A1707">
        <f>HYPERLINK("https://www.youtube.com/watch?v=I1UGE8d3t1g", "Video")</f>
        <v/>
      </c>
      <c r="B1707" t="inlineStr">
        <is>
          <t>5:15</t>
        </is>
      </c>
      <c r="C1707" t="inlineStr">
        <is>
          <t>you're not allowed to drive the forklift</t>
        </is>
      </c>
      <c r="D1707">
        <f>HYPERLINK("https://www.youtube.com/watch?v=I1UGE8d3t1g&amp;t=315s", "Go to time")</f>
        <v/>
      </c>
    </row>
    <row r="1708">
      <c r="A1708">
        <f>HYPERLINK("https://www.youtube.com/watch?v=I1UGE8d3t1g", "Video")</f>
        <v/>
      </c>
      <c r="B1708" t="inlineStr">
        <is>
          <t>5:18</t>
        </is>
      </c>
      <c r="C1708" t="inlineStr">
        <is>
          <t>guys i'm not the only one who has driven</t>
        </is>
      </c>
      <c r="D1708">
        <f>HYPERLINK("https://www.youtube.com/watch?v=I1UGE8d3t1g&amp;t=318s", "Go to time")</f>
        <v/>
      </c>
    </row>
    <row r="1709">
      <c r="A1709">
        <f>HYPERLINK("https://www.youtube.com/watch?v=I1UGE8d3t1g", "Video")</f>
        <v/>
      </c>
      <c r="B1709" t="inlineStr">
        <is>
          <t>5:21</t>
        </is>
      </c>
      <c r="C1709" t="inlineStr">
        <is>
          <t>pudge has driven the forklift man</t>
        </is>
      </c>
      <c r="D1709">
        <f>HYPERLINK("https://www.youtube.com/watch?v=I1UGE8d3t1g&amp;t=321s", "Go to time")</f>
        <v/>
      </c>
    </row>
    <row r="1710">
      <c r="A1710">
        <f>HYPERLINK("https://www.youtube.com/watch?v=I1UGE8d3t1g", "Video")</f>
        <v/>
      </c>
      <c r="B1710" t="inlineStr">
        <is>
          <t>7:17</t>
        </is>
      </c>
      <c r="C1710" t="inlineStr">
        <is>
          <t>belt guy okay i'm a driver who's wearing</t>
        </is>
      </c>
      <c r="D1710">
        <f>HYPERLINK("https://www.youtube.com/watch?v=I1UGE8d3t1g&amp;t=437s", "Go to time")</f>
        <v/>
      </c>
    </row>
    <row r="1711">
      <c r="A1711">
        <f>HYPERLINK("https://www.youtube.com/watch?v=2dgk0DZ30jk", "Video")</f>
        <v/>
      </c>
      <c r="B1711" t="inlineStr">
        <is>
          <t>0:19</t>
        </is>
      </c>
      <c r="C1711" t="inlineStr">
        <is>
          <t>beach. Drive a nice car and have a python in</t>
        </is>
      </c>
      <c r="D1711">
        <f>HYPERLINK("https://www.youtube.com/watch?v=2dgk0DZ30jk&amp;t=19s", "Go to time")</f>
        <v/>
      </c>
    </row>
    <row r="1712">
      <c r="A1712">
        <f>HYPERLINK("https://www.youtube.com/watch?v=2dgk0DZ30jk", "Video")</f>
        <v/>
      </c>
      <c r="B1712" t="inlineStr">
        <is>
          <t>3:19</t>
        </is>
      </c>
      <c r="C1712" t="inlineStr">
        <is>
          <t>The cab driver thought it was a good idea.</t>
        </is>
      </c>
      <c r="D1712">
        <f>HYPERLINK("https://www.youtube.com/watch?v=2dgk0DZ30jk&amp;t=199s", "Go to time")</f>
        <v/>
      </c>
    </row>
    <row r="1713">
      <c r="A1713">
        <f>HYPERLINK("https://www.youtube.com/watch?v=2dgk0DZ30jk", "Video")</f>
        <v/>
      </c>
      <c r="B1713" t="inlineStr">
        <is>
          <t>3:22</t>
        </is>
      </c>
      <c r="C1713" t="inlineStr">
        <is>
          <t>And it's a really long drive.</t>
        </is>
      </c>
      <c r="D1713">
        <f>HYPERLINK("https://www.youtube.com/watch?v=2dgk0DZ30jk&amp;t=202s", "Go to time")</f>
        <v/>
      </c>
    </row>
    <row r="1714">
      <c r="A1714">
        <f>HYPERLINK("https://www.youtube.com/watch?v=wbxqiIYXX5Q", "Video")</f>
        <v/>
      </c>
      <c r="B1714" t="inlineStr">
        <is>
          <t>0:29</t>
        </is>
      </c>
      <c r="C1714" t="inlineStr">
        <is>
          <t>so he's driven an hour out of Budapest,
and he's found this location,</t>
        </is>
      </c>
      <c r="D1714">
        <f>HYPERLINK("https://www.youtube.com/watch?v=wbxqiIYXX5Q&amp;t=29s", "Go to time")</f>
        <v/>
      </c>
    </row>
    <row r="1715">
      <c r="A1715">
        <f>HYPERLINK("https://www.youtube.com/watch?v=Tsycoa7KYSQ", "Video")</f>
        <v/>
      </c>
      <c r="B1715" t="inlineStr">
        <is>
          <t>8:00</t>
        </is>
      </c>
      <c r="C1715" t="inlineStr">
        <is>
          <t>Just drive the car.</t>
        </is>
      </c>
      <c r="D1715">
        <f>HYPERLINK("https://www.youtube.com/watch?v=Tsycoa7KYSQ&amp;t=480s", "Go to time")</f>
        <v/>
      </c>
    </row>
    <row r="1716">
      <c r="A1716">
        <f>HYPERLINK("https://www.youtube.com/watch?v=hRr8dMkmZoo", "Video")</f>
        <v/>
      </c>
      <c r="B1716" t="inlineStr">
        <is>
          <t>1:54</t>
        </is>
      </c>
      <c r="C1716" t="inlineStr">
        <is>
          <t>i went on a drive okay</t>
        </is>
      </c>
      <c r="D1716">
        <f>HYPERLINK("https://www.youtube.com/watch?v=hRr8dMkmZoo&amp;t=114s", "Go to time")</f>
        <v/>
      </c>
    </row>
    <row r="1717">
      <c r="A1717">
        <f>HYPERLINK("https://www.youtube.com/watch?v=11q1Ku_5RvE", "Video")</f>
        <v/>
      </c>
      <c r="B1717" t="inlineStr">
        <is>
          <t>6:18</t>
        </is>
      </c>
      <c r="C1717" t="inlineStr">
        <is>
          <t>Drive!</t>
        </is>
      </c>
      <c r="D1717">
        <f>HYPERLINK("https://www.youtube.com/watch?v=11q1Ku_5RvE&amp;t=378s", "Go to time")</f>
        <v/>
      </c>
    </row>
    <row r="1718">
      <c r="A1718">
        <f>HYPERLINK("https://www.youtube.com/watch?v=Uc0SR1Ez30A", "Video")</f>
        <v/>
      </c>
      <c r="B1718" t="inlineStr">
        <is>
          <t>4:22</t>
        </is>
      </c>
      <c r="C1718" t="inlineStr">
        <is>
          <t>at the drive through but it was worth it</t>
        </is>
      </c>
      <c r="D1718">
        <f>HYPERLINK("https://www.youtube.com/watch?v=Uc0SR1Ez30A&amp;t=262s", "Go to time")</f>
        <v/>
      </c>
    </row>
    <row r="1719">
      <c r="A1719">
        <f>HYPERLINK("https://www.youtube.com/watch?v=Z9iPPrKUisY", "Video")</f>
        <v/>
      </c>
      <c r="B1719" t="inlineStr">
        <is>
          <t>1:31</t>
        </is>
      </c>
      <c r="C1719" t="inlineStr">
        <is>
          <t>all the doors from the driver's side.</t>
        </is>
      </c>
      <c r="D1719">
        <f>HYPERLINK("https://www.youtube.com/watch?v=Z9iPPrKUisY&amp;t=91s", "Go to time")</f>
        <v/>
      </c>
    </row>
    <row r="1720">
      <c r="A1720">
        <f>HYPERLINK("https://www.youtube.com/watch?v=Z9iPPrKUisY", "Video")</f>
        <v/>
      </c>
      <c r="B1720" t="inlineStr">
        <is>
          <t>9:17</t>
        </is>
      </c>
      <c r="C1720" t="inlineStr">
        <is>
          <t>We'll drive through the night. They'll never
find us.</t>
        </is>
      </c>
      <c r="D1720">
        <f>HYPERLINK("https://www.youtube.com/watch?v=Z9iPPrKUisY&amp;t=557s", "Go to time")</f>
        <v/>
      </c>
    </row>
    <row r="1721">
      <c r="A1721">
        <f>HYPERLINK("https://www.youtube.com/watch?v=tlFteE4zlx4", "Video")</f>
        <v/>
      </c>
      <c r="B1721" t="inlineStr">
        <is>
          <t>3:25</t>
        </is>
      </c>
      <c r="C1721" t="inlineStr">
        <is>
          <t>it okay I've got a screwdriver so we can</t>
        </is>
      </c>
      <c r="D1721">
        <f>HYPERLINK("https://www.youtube.com/watch?v=tlFteE4zlx4&amp;t=205s", "Go to time")</f>
        <v/>
      </c>
    </row>
    <row r="1722">
      <c r="A1722">
        <f>HYPERLINK("https://www.youtube.com/watch?v=tlFteE4zlx4", "Video")</f>
        <v/>
      </c>
      <c r="B1722" t="inlineStr">
        <is>
          <t>3:37</t>
        </is>
      </c>
      <c r="C1722" t="inlineStr">
        <is>
          <t>screwdriver oh I think I feel</t>
        </is>
      </c>
      <c r="D1722">
        <f>HYPERLINK("https://www.youtube.com/watch?v=tlFteE4zlx4&amp;t=217s", "Go to time")</f>
        <v/>
      </c>
    </row>
    <row r="1723">
      <c r="A1723">
        <f>HYPERLINK("https://www.youtube.com/watch?v=tlFteE4zlx4", "Video")</f>
        <v/>
      </c>
      <c r="B1723" t="inlineStr">
        <is>
          <t>3:56</t>
        </is>
      </c>
      <c r="C1723" t="inlineStr">
        <is>
          <t>screwdriver screwdrivers don't smell</t>
        </is>
      </c>
      <c r="D1723">
        <f>HYPERLINK("https://www.youtube.com/watch?v=tlFteE4zlx4&amp;t=236s", "Go to time")</f>
        <v/>
      </c>
    </row>
    <row r="1724">
      <c r="A1724">
        <f>HYPERLINK("https://www.youtube.com/watch?v=tlFteE4zlx4", "Video")</f>
        <v/>
      </c>
      <c r="B1724" t="inlineStr">
        <is>
          <t>4:21</t>
        </is>
      </c>
      <c r="C1724" t="inlineStr">
        <is>
          <t>stupid screwdriver get whining go find</t>
        </is>
      </c>
      <c r="D1724">
        <f>HYPERLINK("https://www.youtube.com/watch?v=tlFteE4zlx4&amp;t=261s", "Go to time")</f>
        <v/>
      </c>
    </row>
    <row r="1725">
      <c r="A1725">
        <f>HYPERLINK("https://www.youtube.com/watch?v=NiidUuPZxpA", "Video")</f>
        <v/>
      </c>
      <c r="B1725" t="inlineStr">
        <is>
          <t>10:18</t>
        </is>
      </c>
      <c r="C1725" t="inlineStr">
        <is>
          <t>own drive and her own relationships with</t>
        </is>
      </c>
      <c r="D1725">
        <f>HYPERLINK("https://www.youtube.com/watch?v=NiidUuPZxpA&amp;t=618s", "Go to time")</f>
        <v/>
      </c>
    </row>
    <row r="1726">
      <c r="A1726">
        <f>HYPERLINK("https://www.youtube.com/watch?v=NiidUuPZxpA", "Video")</f>
        <v/>
      </c>
      <c r="B1726" t="inlineStr">
        <is>
          <t>10:28</t>
        </is>
      </c>
      <c r="C1726" t="inlineStr">
        <is>
          <t>they all have have their own drive and I</t>
        </is>
      </c>
      <c r="D1726">
        <f>HYPERLINK("https://www.youtube.com/watch?v=NiidUuPZxpA&amp;t=628s", "Go to time")</f>
        <v/>
      </c>
    </row>
    <row r="1727">
      <c r="A1727">
        <f>HYPERLINK("https://www.youtube.com/watch?v=iomr6nLJj_Q", "Video")</f>
        <v/>
      </c>
      <c r="B1727" t="inlineStr">
        <is>
          <t>1:39</t>
        </is>
      </c>
      <c r="C1727" t="inlineStr">
        <is>
          <t>so we're not letting him drive out of</t>
        </is>
      </c>
      <c r="D1727">
        <f>HYPERLINK("https://www.youtube.com/watch?v=iomr6nLJj_Q&amp;t=99s", "Go to time")</f>
        <v/>
      </c>
    </row>
    <row r="1728">
      <c r="A1728">
        <f>HYPERLINK("https://www.youtube.com/watch?v=Ewu4MARM7Co", "Video")</f>
        <v/>
      </c>
      <c r="B1728" t="inlineStr">
        <is>
          <t>0:43</t>
        </is>
      </c>
      <c r="C1728" t="inlineStr">
        <is>
          <t>and also she doesn't drive but i love to</t>
        </is>
      </c>
      <c r="D1728">
        <f>HYPERLINK("https://www.youtube.com/watch?v=Ewu4MARM7Co&amp;t=43s", "Go to time")</f>
        <v/>
      </c>
    </row>
    <row r="1729">
      <c r="A1729">
        <f>HYPERLINK("https://www.youtube.com/watch?v=Ewu4MARM7Co", "Video")</f>
        <v/>
      </c>
      <c r="B1729" t="inlineStr">
        <is>
          <t>0:46</t>
        </is>
      </c>
      <c r="C1729" t="inlineStr">
        <is>
          <t>drive and she has all of these amazing</t>
        </is>
      </c>
      <c r="D1729">
        <f>HYPERLINK("https://www.youtube.com/watch?v=Ewu4MARM7Co&amp;t=46s", "Go to time")</f>
        <v/>
      </c>
    </row>
    <row r="1730">
      <c r="A1730">
        <f>HYPERLINK("https://www.youtube.com/watch?v=Ewu4MARM7Co", "Video")</f>
        <v/>
      </c>
      <c r="B1730" t="inlineStr">
        <is>
          <t>0:50</t>
        </is>
      </c>
      <c r="C1730" t="inlineStr">
        <is>
          <t>group together i would get to drive miss</t>
        </is>
      </c>
      <c r="D1730">
        <f>HYPERLINK("https://www.youtube.com/watch?v=Ewu4MARM7Co&amp;t=50s", "Go to time")</f>
        <v/>
      </c>
    </row>
    <row r="1731">
      <c r="A1731">
        <f>HYPERLINK("https://www.youtube.com/watch?v=aUYm81xOSgk", "Video")</f>
        <v/>
      </c>
      <c r="B1731" t="inlineStr">
        <is>
          <t>15:43</t>
        </is>
      </c>
      <c r="C1731" t="inlineStr">
        <is>
          <t>drive down here</t>
        </is>
      </c>
      <c r="D1731">
        <f>HYPERLINK("https://www.youtube.com/watch?v=aUYm81xOSgk&amp;t=943s", "Go to time")</f>
        <v/>
      </c>
    </row>
    <row r="1732">
      <c r="A1732">
        <f>HYPERLINK("https://www.youtube.com/watch?v=aUYm81xOSgk", "Video")</f>
        <v/>
      </c>
      <c r="B1732" t="inlineStr">
        <is>
          <t>15:45</t>
        </is>
      </c>
      <c r="C1732" t="inlineStr">
        <is>
          <t>drive 240 miles per hour</t>
        </is>
      </c>
      <c r="D1732">
        <f>HYPERLINK("https://www.youtube.com/watch?v=aUYm81xOSgk&amp;t=945s", "Go to time")</f>
        <v/>
      </c>
    </row>
    <row r="1733">
      <c r="A1733">
        <f>HYPERLINK("https://www.youtube.com/watch?v=3nfUIDi4xqs", "Video")</f>
        <v/>
      </c>
      <c r="B1733" t="inlineStr">
        <is>
          <t>1:10</t>
        </is>
      </c>
      <c r="C1733" t="inlineStr">
        <is>
          <t>On her driver's license. Her last name was</t>
        </is>
      </c>
      <c r="D1733">
        <f>HYPERLINK("https://www.youtube.com/watch?v=3nfUIDi4xqs&amp;t=70s", "Go to time")</f>
        <v/>
      </c>
    </row>
    <row r="1734">
      <c r="A1734">
        <f>HYPERLINK("https://www.youtube.com/watch?v=EUnXdPB8E5o", "Video")</f>
        <v/>
      </c>
      <c r="B1734" t="inlineStr">
        <is>
          <t>15:50</t>
        </is>
      </c>
      <c r="C1734" t="inlineStr">
        <is>
          <t>what if I drive you to prison we could</t>
        </is>
      </c>
      <c r="D1734">
        <f>HYPERLINK("https://www.youtube.com/watch?v=EUnXdPB8E5o&amp;t=950s", "Go to time")</f>
        <v/>
      </c>
    </row>
    <row r="1735">
      <c r="A1735">
        <f>HYPERLINK("https://www.youtube.com/watch?v=Q-kdHQVrgOE", "Video")</f>
        <v/>
      </c>
      <c r="B1735" t="inlineStr">
        <is>
          <t>1:08</t>
        </is>
      </c>
      <c r="C1735" t="inlineStr">
        <is>
          <t>deal how fast can we drive as fast as we</t>
        </is>
      </c>
      <c r="D1735">
        <f>HYPERLINK("https://www.youtube.com/watch?v=Q-kdHQVrgOE&amp;t=68s", "Go to time")</f>
        <v/>
      </c>
    </row>
    <row r="1736">
      <c r="A1736">
        <f>HYPERLINK("https://www.youtube.com/watch?v=J0V9vTT3R9E", "Video")</f>
        <v/>
      </c>
      <c r="B1736" t="inlineStr">
        <is>
          <t>2:24</t>
        </is>
      </c>
      <c r="C1736" t="inlineStr">
        <is>
          <t>If your mother had a name tag, it would say
good driver.</t>
        </is>
      </c>
      <c r="D1736">
        <f>HYPERLINK("https://www.youtube.com/watch?v=J0V9vTT3R9E&amp;t=144s", "Go to time")</f>
        <v/>
      </c>
    </row>
    <row r="1737">
      <c r="A1737">
        <f>HYPERLINK("https://www.youtube.com/watch?v=Li_e72eih0w", "Video")</f>
        <v/>
      </c>
      <c r="B1737" t="inlineStr">
        <is>
          <t>0:34</t>
        </is>
      </c>
      <c r="C1737" t="inlineStr">
        <is>
          <t>designated driver.</t>
        </is>
      </c>
      <c r="D1737">
        <f>HYPERLINK("https://www.youtube.com/watch?v=Li_e72eih0w&amp;t=34s", "Go to time")</f>
        <v/>
      </c>
    </row>
    <row r="1738">
      <c r="A1738">
        <f>HYPERLINK("https://www.youtube.com/watch?v=Li_e72eih0w", "Video")</f>
        <v/>
      </c>
      <c r="B1738" t="inlineStr">
        <is>
          <t>0:41</t>
        </is>
      </c>
      <c r="C1738" t="inlineStr">
        <is>
          <t>can't drive myself. I'll be full of Jell-O</t>
        </is>
      </c>
      <c r="D1738">
        <f>HYPERLINK("https://www.youtube.com/watch?v=Li_e72eih0w&amp;t=41s", "Go to time")</f>
        <v/>
      </c>
    </row>
    <row r="1739">
      <c r="A1739">
        <f>HYPERLINK("https://www.youtube.com/watch?v=Li_e72eih0w", "Video")</f>
        <v/>
      </c>
      <c r="B1739" t="inlineStr">
        <is>
          <t>1:04</t>
        </is>
      </c>
      <c r="C1739" t="inlineStr">
        <is>
          <t>Come on, Ted, please. You got to drive me.</t>
        </is>
      </c>
      <c r="D1739">
        <f>HYPERLINK("https://www.youtube.com/watch?v=Li_e72eih0w&amp;t=64s", "Go to time")</f>
        <v/>
      </c>
    </row>
    <row r="1740">
      <c r="A1740">
        <f>HYPERLINK("https://www.youtube.com/watch?v=Li_e72eih0w", "Video")</f>
        <v/>
      </c>
      <c r="B1740" t="inlineStr">
        <is>
          <t>1:25</t>
        </is>
      </c>
      <c r="C1740" t="inlineStr">
        <is>
          <t>Drive me to the party.</t>
        </is>
      </c>
      <c r="D1740">
        <f>HYPERLINK("https://www.youtube.com/watch?v=Li_e72eih0w&amp;t=85s", "Go to time")</f>
        <v/>
      </c>
    </row>
    <row r="1741">
      <c r="A1741">
        <f>HYPERLINK("https://www.youtube.com/watch?v=Li_e72eih0w", "Video")</f>
        <v/>
      </c>
      <c r="B1741" t="inlineStr">
        <is>
          <t>2:47</t>
        </is>
      </c>
      <c r="C1741" t="inlineStr">
        <is>
          <t>But Ted here is my designated driver.</t>
        </is>
      </c>
      <c r="D1741">
        <f>HYPERLINK("https://www.youtube.com/watch?v=Li_e72eih0w&amp;t=167s", "Go to time")</f>
        <v/>
      </c>
    </row>
    <row r="1742">
      <c r="A1742">
        <f>HYPERLINK("https://www.youtube.com/watch?v=Li_e72eih0w", "Video")</f>
        <v/>
      </c>
      <c r="B1742" t="inlineStr">
        <is>
          <t>4:44</t>
        </is>
      </c>
      <c r="C1742" t="inlineStr">
        <is>
          <t>I'm fine to drive.</t>
        </is>
      </c>
      <c r="D1742">
        <f>HYPERLINK("https://www.youtube.com/watch?v=Li_e72eih0w&amp;t=284s", "Go to time")</f>
        <v/>
      </c>
    </row>
    <row r="1743">
      <c r="A1743">
        <f>HYPERLINK("https://www.youtube.com/watch?v=Li_e72eih0w", "Video")</f>
        <v/>
      </c>
      <c r="B1743" t="inlineStr">
        <is>
          <t>4:48</t>
        </is>
      </c>
      <c r="C1743" t="inlineStr">
        <is>
          <t>I should be the drunk driver.</t>
        </is>
      </c>
      <c r="D1743">
        <f>HYPERLINK("https://www.youtube.com/watch?v=Li_e72eih0w&amp;t=288s", "Go to time")</f>
        <v/>
      </c>
    </row>
    <row r="1744">
      <c r="A1744">
        <f>HYPERLINK("https://www.youtube.com/watch?v=oZapBdgvgy8", "Video")</f>
        <v/>
      </c>
      <c r="B1744" t="inlineStr">
        <is>
          <t>3:56</t>
        </is>
      </c>
      <c r="C1744" t="inlineStr">
        <is>
          <t>great great so uh so you'll drive me to</t>
        </is>
      </c>
      <c r="D1744">
        <f>HYPERLINK("https://www.youtube.com/watch?v=oZapBdgvgy8&amp;t=236s", "Go to time")</f>
        <v/>
      </c>
    </row>
    <row r="1745">
      <c r="A1745">
        <f>HYPERLINK("https://www.youtube.com/watch?v=oZapBdgvgy8", "Video")</f>
        <v/>
      </c>
      <c r="B1745" t="inlineStr">
        <is>
          <t>4:11</t>
        </is>
      </c>
      <c r="C1745" t="inlineStr">
        <is>
          <t>drive I don't see why</t>
        </is>
      </c>
      <c r="D1745">
        <f>HYPERLINK("https://www.youtube.com/watch?v=oZapBdgvgy8&amp;t=251s", "Go to time")</f>
        <v/>
      </c>
    </row>
    <row r="1746">
      <c r="A1746">
        <f>HYPERLINK("https://www.youtube.com/watch?v=69Ukik2WbM4", "Video")</f>
        <v/>
      </c>
      <c r="B1746" t="inlineStr">
        <is>
          <t>2:24</t>
        </is>
      </c>
      <c r="C1746" t="inlineStr">
        <is>
          <t>and I- I'll drive you wherever you want.</t>
        </is>
      </c>
      <c r="D1746">
        <f>HYPERLINK("https://www.youtube.com/watch?v=69Ukik2WbM4&amp;t=144s", "Go to time")</f>
        <v/>
      </c>
    </row>
    <row r="1747">
      <c r="A1747">
        <f>HYPERLINK("https://www.youtube.com/watch?v=PcOwQFCM_Lc", "Video")</f>
        <v/>
      </c>
      <c r="B1747" t="inlineStr">
        <is>
          <t>2:49</t>
        </is>
      </c>
      <c r="C1747" t="inlineStr">
        <is>
          <t>On her driver's license, her last name was</t>
        </is>
      </c>
      <c r="D1747">
        <f>HYPERLINK("https://www.youtube.com/watch?v=PcOwQFCM_Lc&amp;t=169s", "Go to time")</f>
        <v/>
      </c>
    </row>
    <row r="1748">
      <c r="A1748">
        <f>HYPERLINK("https://www.youtube.com/watch?v=76tWYL4pTxE", "Video")</f>
        <v/>
      </c>
      <c r="B1748" t="inlineStr">
        <is>
          <t>3:44</t>
        </is>
      </c>
      <c r="C1748" t="inlineStr">
        <is>
          <t>unfinished no that would drive me crazy</t>
        </is>
      </c>
      <c r="D1748">
        <f>HYPERLINK("https://www.youtube.com/watch?v=76tWYL4pTxE&amp;t=224s", "Go to time")</f>
        <v/>
      </c>
    </row>
    <row r="1749">
      <c r="A1749">
        <f>HYPERLINK("https://www.youtube.com/watch?v=QHcluvQfxCw", "Video")</f>
        <v/>
      </c>
      <c r="B1749" t="inlineStr">
        <is>
          <t>3:51</t>
        </is>
      </c>
      <c r="C1749" t="inlineStr">
        <is>
          <t>still drive oh yeah for sure I'll just</t>
        </is>
      </c>
      <c r="D1749">
        <f>HYPERLINK("https://www.youtube.com/watch?v=QHcluvQfxCw&amp;t=231s", "Go to time")</f>
        <v/>
      </c>
    </row>
    <row r="1750">
      <c r="A1750">
        <f>HYPERLINK("https://www.youtube.com/watch?v=53cmAuj6oac", "Video")</f>
        <v/>
      </c>
      <c r="B1750" t="inlineStr">
        <is>
          <t>0:56</t>
        </is>
      </c>
      <c r="C1750" t="inlineStr">
        <is>
          <t>couldn't drive it.</t>
        </is>
      </c>
      <c r="D1750">
        <f>HYPERLINK("https://www.youtube.com/watch?v=53cmAuj6oac&amp;t=56s", "Go to time")</f>
        <v/>
      </c>
    </row>
    <row r="1751">
      <c r="A1751">
        <f>HYPERLINK("https://www.youtube.com/watch?v=RXNSW-Cy0Mo", "Video")</f>
        <v/>
      </c>
      <c r="B1751" t="inlineStr">
        <is>
          <t>14:35</t>
        </is>
      </c>
      <c r="C1751" t="inlineStr">
        <is>
          <t>um everyone was getting their driver's</t>
        </is>
      </c>
      <c r="D1751">
        <f>HYPERLINK("https://www.youtube.com/watch?v=RXNSW-Cy0Mo&amp;t=875s", "Go to time")</f>
        <v/>
      </c>
    </row>
    <row r="1752">
      <c r="A1752">
        <f>HYPERLINK("https://www.youtube.com/watch?v=WUlmqdN8qgc", "Video")</f>
        <v/>
      </c>
      <c r="B1752" t="inlineStr">
        <is>
          <t>2:11</t>
        </is>
      </c>
      <c r="C1752" t="inlineStr">
        <is>
          <t>Three hour and 20 minute drive from</t>
        </is>
      </c>
      <c r="D1752">
        <f>HYPERLINK("https://www.youtube.com/watch?v=WUlmqdN8qgc&amp;t=131s", "Go to time")</f>
        <v/>
      </c>
    </row>
    <row r="1753">
      <c r="A1753">
        <f>HYPERLINK("https://www.youtube.com/watch?v=WUlmqdN8qgc", "Video")</f>
        <v/>
      </c>
      <c r="B1753" t="inlineStr">
        <is>
          <t>2:13</t>
        </is>
      </c>
      <c r="C1753" t="inlineStr">
        <is>
          <t>So you're saying you made that drive</t>
        </is>
      </c>
      <c r="D1753">
        <f>HYPERLINK("https://www.youtube.com/watch?v=WUlmqdN8qgc&amp;t=133s", "Go to time")</f>
        <v/>
      </c>
    </row>
    <row r="1754">
      <c r="A1754">
        <f>HYPERLINK("https://www.youtube.com/watch?v=lNxDdDhfuMI", "Video")</f>
        <v/>
      </c>
      <c r="B1754" t="inlineStr">
        <is>
          <t>4:47</t>
        </is>
      </c>
      <c r="C1754" t="inlineStr">
        <is>
          <t>I understand you have this drive with</t>
        </is>
      </c>
      <c r="D1754">
        <f>HYPERLINK("https://www.youtube.com/watch?v=lNxDdDhfuMI&amp;t=287s", "Go to time")</f>
        <v/>
      </c>
    </row>
    <row r="1755">
      <c r="A1755">
        <f>HYPERLINK("https://www.youtube.com/watch?v=BbXE908ceQE", "Video")</f>
        <v/>
      </c>
      <c r="B1755" t="inlineStr">
        <is>
          <t>3:26</t>
        </is>
      </c>
      <c r="C1755" t="inlineStr">
        <is>
          <t>F***ing driver's right there, I said, hey,
man.</t>
        </is>
      </c>
      <c r="D1755">
        <f>HYPERLINK("https://www.youtube.com/watch?v=BbXE908ceQE&amp;t=206s", "Go to time")</f>
        <v/>
      </c>
    </row>
    <row r="1756">
      <c r="A1756">
        <f>HYPERLINK("https://www.youtube.com/watch?v=0HQ7dBqfbug", "Video")</f>
        <v/>
      </c>
      <c r="B1756" t="inlineStr">
        <is>
          <t>2:05</t>
        </is>
      </c>
      <c r="C1756" t="inlineStr">
        <is>
          <t>You drive long hual or just loca</t>
        </is>
      </c>
      <c r="D1756">
        <f>HYPERLINK("https://www.youtube.com/watch?v=0HQ7dBqfbug&amp;t=125s", "Go to time")</f>
        <v/>
      </c>
    </row>
    <row r="1757">
      <c r="A1757">
        <f>HYPERLINK("https://www.youtube.com/watch?v=0HQ7dBqfbug", "Video")</f>
        <v/>
      </c>
      <c r="B1757" t="inlineStr">
        <is>
          <t>2:07</t>
        </is>
      </c>
      <c r="C1757" t="inlineStr">
        <is>
          <t>Drive anything.</t>
        </is>
      </c>
      <c r="D1757">
        <f>HYPERLINK("https://www.youtube.com/watch?v=0HQ7dBqfbug&amp;t=127s", "Go to time")</f>
        <v/>
      </c>
    </row>
    <row r="1758">
      <c r="A1758">
        <f>HYPERLINK("https://www.youtube.com/watch?v=0HQ7dBqfbug", "Video")</f>
        <v/>
      </c>
      <c r="B1758" t="inlineStr">
        <is>
          <t>3:26</t>
        </is>
      </c>
      <c r="C1758" t="inlineStr">
        <is>
          <t>I got driverless trucks on the w</t>
        </is>
      </c>
      <c r="D1758">
        <f>HYPERLINK("https://www.youtube.com/watch?v=0HQ7dBqfbug&amp;t=206s", "Go to time")</f>
        <v/>
      </c>
    </row>
    <row r="1759">
      <c r="A1759">
        <f>HYPERLINK("https://www.youtube.com/watch?v=0HQ7dBqfbug", "Video")</f>
        <v/>
      </c>
      <c r="B1759" t="inlineStr">
        <is>
          <t>4:55</t>
        </is>
      </c>
      <c r="C1759" t="inlineStr">
        <is>
          <t>One of their drivers was behind</t>
        </is>
      </c>
      <c r="D1759">
        <f>HYPERLINK("https://www.youtube.com/watch?v=0HQ7dBqfbug&amp;t=295s", "Go to time")</f>
        <v/>
      </c>
    </row>
    <row r="1760">
      <c r="A1760">
        <f>HYPERLINK("https://www.youtube.com/watch?v=rrZ8cp0xUpY", "Video")</f>
        <v/>
      </c>
      <c r="B1760" t="inlineStr">
        <is>
          <t>4:54</t>
        </is>
      </c>
      <c r="C1760" t="inlineStr">
        <is>
          <t>do just cash my check and drive right</t>
        </is>
      </c>
      <c r="D1760">
        <f>HYPERLINK("https://www.youtube.com/watch?v=rrZ8cp0xUpY&amp;t=294s", "Go to time")</f>
        <v/>
      </c>
    </row>
    <row r="1761">
      <c r="A1761">
        <f>HYPERLINK("https://www.youtube.com/watch?v=Y_s25wEyYGI", "Video")</f>
        <v/>
      </c>
      <c r="B1761" t="inlineStr">
        <is>
          <t>5:58</t>
        </is>
      </c>
      <c r="C1761" t="inlineStr">
        <is>
          <t>just stop doing it you're going to drive</t>
        </is>
      </c>
      <c r="D1761">
        <f>HYPERLINK("https://www.youtube.com/watch?v=Y_s25wEyYGI&amp;t=358s", "Go to time")</f>
        <v/>
      </c>
    </row>
    <row r="1762">
      <c r="A1762">
        <f>HYPERLINK("https://www.youtube.com/watch?v=ivxgiChjCEQ", "Video")</f>
        <v/>
      </c>
      <c r="B1762" t="inlineStr">
        <is>
          <t>1:38</t>
        </is>
      </c>
      <c r="C1762" t="inlineStr">
        <is>
          <t>I can drive a taxi.</t>
        </is>
      </c>
      <c r="D1762">
        <f>HYPERLINK("https://www.youtube.com/watch?v=ivxgiChjCEQ&amp;t=98s", "Go to time")</f>
        <v/>
      </c>
    </row>
    <row r="1763">
      <c r="A1763">
        <f>HYPERLINK("https://www.youtube.com/watch?v=dtK475dwWDw", "Video")</f>
        <v/>
      </c>
      <c r="B1763" t="inlineStr">
        <is>
          <t>6:17</t>
        </is>
      </c>
      <c r="C1763" t="inlineStr">
        <is>
          <t>phil he drives a corvette he is june</t>
        </is>
      </c>
      <c r="D1763">
        <f>HYPERLINK("https://www.youtube.com/watch?v=dtK475dwWDw&amp;t=377s", "Go to time")</f>
        <v/>
      </c>
    </row>
    <row r="1764">
      <c r="A1764">
        <f>HYPERLINK("https://www.youtube.com/watch?v=RJ0q5kliK7E", "Video")</f>
        <v/>
      </c>
      <c r="B1764" t="inlineStr">
        <is>
          <t>0:20</t>
        </is>
      </c>
      <c r="C1764" t="inlineStr">
        <is>
          <t>for all of you do you promise to drive</t>
        </is>
      </c>
      <c r="D1764">
        <f>HYPERLINK("https://www.youtube.com/watch?v=RJ0q5kliK7E&amp;t=20s", "Go to time")</f>
        <v/>
      </c>
    </row>
    <row r="1765">
      <c r="A1765">
        <f>HYPERLINK("https://www.youtube.com/watch?v=TPy-N11ef3A", "Video")</f>
        <v/>
      </c>
      <c r="B1765" t="inlineStr">
        <is>
          <t>0:33</t>
        </is>
      </c>
      <c r="C1765" t="inlineStr">
        <is>
          <t>an icy driveway without falling on my</t>
        </is>
      </c>
      <c r="D1765">
        <f>HYPERLINK("https://www.youtube.com/watch?v=TPy-N11ef3A&amp;t=33s", "Go to time")</f>
        <v/>
      </c>
    </row>
    <row r="1766">
      <c r="A1766">
        <f>HYPERLINK("https://www.youtube.com/watch?v=OHZIHsXD5q8", "Video")</f>
        <v/>
      </c>
      <c r="B1766" t="inlineStr">
        <is>
          <t>21:46</t>
        </is>
      </c>
      <c r="C1766" t="inlineStr">
        <is>
          <t>your desk or it's going to drive me</t>
        </is>
      </c>
      <c r="D1766">
        <f>HYPERLINK("https://www.youtube.com/watch?v=OHZIHsXD5q8&amp;t=1306s", "Go to time")</f>
        <v/>
      </c>
    </row>
    <row r="1767">
      <c r="A1767">
        <f>HYPERLINK("https://www.youtube.com/watch?v=OHZIHsXD5q8", "Video")</f>
        <v/>
      </c>
      <c r="B1767" t="inlineStr">
        <is>
          <t>22:55</t>
        </is>
      </c>
      <c r="C1767" t="inlineStr">
        <is>
          <t>getting their driver's license why don't</t>
        </is>
      </c>
      <c r="D1767">
        <f>HYPERLINK("https://www.youtube.com/watch?v=OHZIHsXD5q8&amp;t=1375s", "Go to time")</f>
        <v/>
      </c>
    </row>
    <row r="1768">
      <c r="A1768">
        <f>HYPERLINK("https://www.youtube.com/watch?v=OHZIHsXD5q8", "Video")</f>
        <v/>
      </c>
      <c r="B1768" t="inlineStr">
        <is>
          <t>28:26</t>
        </is>
      </c>
      <c r="C1768" t="inlineStr">
        <is>
          <t>drives a Corvette he is doing just fine</t>
        </is>
      </c>
      <c r="D1768">
        <f>HYPERLINK("https://www.youtube.com/watch?v=OHZIHsXD5q8&amp;t=1706s", "Go to time")</f>
        <v/>
      </c>
    </row>
    <row r="1769">
      <c r="A1769">
        <f>HYPERLINK("https://www.youtube.com/watch?v=7dRo_JrJP0o", "Video")</f>
        <v/>
      </c>
      <c r="B1769" t="inlineStr">
        <is>
          <t>3:35</t>
        </is>
      </c>
      <c r="C1769" t="inlineStr">
        <is>
          <t>now that's how you supposed to drive</t>
        </is>
      </c>
      <c r="D1769">
        <f>HYPERLINK("https://www.youtube.com/watch?v=7dRo_JrJP0o&amp;t=215s", "Go to time")</f>
        <v/>
      </c>
    </row>
    <row r="1770">
      <c r="A1770">
        <f>HYPERLINK("https://www.youtube.com/watch?v=MLQimREChqU", "Video")</f>
        <v/>
      </c>
      <c r="B1770" t="inlineStr">
        <is>
          <t>1:05</t>
        </is>
      </c>
      <c r="C1770" t="inlineStr">
        <is>
          <t>And if it's not listeria, all the gent will do is cure the Legionnaires disease and put whatever is killing me back into overdrive.</t>
        </is>
      </c>
      <c r="D1770">
        <f>HYPERLINK("https://www.youtube.com/watch?v=MLQimREChqU&amp;t=65s", "Go to time")</f>
        <v/>
      </c>
    </row>
    <row r="1771">
      <c r="A1771">
        <f>HYPERLINK("https://www.youtube.com/watch?v=rn_Gxu_bqzI", "Video")</f>
        <v/>
      </c>
      <c r="B1771" t="inlineStr">
        <is>
          <t>6:39</t>
        </is>
      </c>
      <c r="C1771" t="inlineStr">
        <is>
          <t>this i think you should let me drive you</t>
        </is>
      </c>
      <c r="D1771">
        <f>HYPERLINK("https://www.youtube.com/watch?v=rn_Gxu_bqzI&amp;t=399s", "Go to time")</f>
        <v/>
      </c>
    </row>
    <row r="1772">
      <c r="A1772">
        <f>HYPERLINK("https://www.youtube.com/watch?v=iGy0jl-jeow", "Video")</f>
        <v/>
      </c>
      <c r="B1772" t="inlineStr">
        <is>
          <t>3:59</t>
        </is>
      </c>
      <c r="C1772" t="inlineStr">
        <is>
          <t>drive a good attitude i want to give her</t>
        </is>
      </c>
      <c r="D1772">
        <f>HYPERLINK("https://www.youtube.com/watch?v=iGy0jl-jeow&amp;t=239s", "Go to time")</f>
        <v/>
      </c>
    </row>
    <row r="1773">
      <c r="A1773">
        <f>HYPERLINK("https://www.youtube.com/watch?v=5YGZVZcJKrg", "Video")</f>
        <v/>
      </c>
      <c r="B1773" t="inlineStr">
        <is>
          <t>5:45</t>
        </is>
      </c>
      <c r="C1773" t="inlineStr">
        <is>
          <t>relational and a lot of the drive</t>
        </is>
      </c>
      <c r="D1773">
        <f>HYPERLINK("https://www.youtube.com/watch?v=5YGZVZcJKrg&amp;t=345s", "Go to time")</f>
        <v/>
      </c>
    </row>
    <row r="1774">
      <c r="A1774">
        <f>HYPERLINK("https://www.youtube.com/watch?v=EvRXy43fmvQ", "Video")</f>
        <v/>
      </c>
      <c r="B1774" t="inlineStr">
        <is>
          <t>2:32</t>
        </is>
      </c>
      <c r="C1774" t="inlineStr">
        <is>
          <t>drives a minivan husband spends a little</t>
        </is>
      </c>
      <c r="D1774">
        <f>HYPERLINK("https://www.youtube.com/watch?v=EvRXy43fmvQ&amp;t=152s", "Go to time")</f>
        <v/>
      </c>
    </row>
    <row r="1775">
      <c r="A1775">
        <f>HYPERLINK("https://www.youtube.com/watch?v=4mq1qye3PKs", "Video")</f>
        <v/>
      </c>
      <c r="B1775" t="inlineStr">
        <is>
          <t>0:09</t>
        </is>
      </c>
      <c r="C1775" t="inlineStr">
        <is>
          <t>Could I drive it then? Damn it, Jake, how</t>
        </is>
      </c>
      <c r="D1775">
        <f>HYPERLINK("https://www.youtube.com/watch?v=4mq1qye3PKs&amp;t=9s", "Go to time")</f>
        <v/>
      </c>
    </row>
    <row r="1776">
      <c r="A1776">
        <f>HYPERLINK("https://www.youtube.com/watch?v=4mq1qye3PKs", "Video")</f>
        <v/>
      </c>
      <c r="B1776" t="inlineStr">
        <is>
          <t>0:24</t>
        </is>
      </c>
      <c r="C1776" t="inlineStr">
        <is>
          <t>Told you. You should have let me drive.</t>
        </is>
      </c>
      <c r="D1776">
        <f>HYPERLINK("https://www.youtube.com/watch?v=4mq1qye3PKs&amp;t=24s", "Go to time")</f>
        <v/>
      </c>
    </row>
    <row r="1777">
      <c r="A1777">
        <f>HYPERLINK("https://www.youtube.com/watch?v=4mq1qye3PKs", "Video")</f>
        <v/>
      </c>
      <c r="B1777" t="inlineStr">
        <is>
          <t>1:08</t>
        </is>
      </c>
      <c r="C1777" t="inlineStr">
        <is>
          <t>Making sure I get to drive your car whenever</t>
        </is>
      </c>
      <c r="D1777">
        <f>HYPERLINK("https://www.youtube.com/watch?v=4mq1qye3PKs&amp;t=68s", "Go to time")</f>
        <v/>
      </c>
    </row>
    <row r="1778">
      <c r="A1778">
        <f>HYPERLINK("https://www.youtube.com/watch?v=UQjV3ipYysg", "Video")</f>
        <v/>
      </c>
      <c r="B1778" t="inlineStr">
        <is>
          <t>1:26</t>
        </is>
      </c>
      <c r="C1778" t="inlineStr">
        <is>
          <t>I mean, who in his right mind would put up with somebody who drives him crazy for all those years?</t>
        </is>
      </c>
      <c r="D1778">
        <f>HYPERLINK("https://www.youtube.com/watch?v=UQjV3ipYysg&amp;t=86s", "Go to time")</f>
        <v/>
      </c>
    </row>
    <row r="1779">
      <c r="A1779">
        <f>HYPERLINK("https://www.youtube.com/watch?v=n6y9KKOajtY", "Video")</f>
        <v/>
      </c>
      <c r="B1779" t="inlineStr">
        <is>
          <t>5:57</t>
        </is>
      </c>
      <c r="C1779" t="inlineStr">
        <is>
          <t>blessed 9 17. drive faster blue civic</t>
        </is>
      </c>
      <c r="D1779">
        <f>HYPERLINK("https://www.youtube.com/watch?v=n6y9KKOajtY&amp;t=357s", "Go to time")</f>
        <v/>
      </c>
    </row>
    <row r="1780">
      <c r="A1780">
        <f>HYPERLINK("https://www.youtube.com/watch?v=usYWT1tC7bs", "Video")</f>
        <v/>
      </c>
      <c r="B1780" t="inlineStr">
        <is>
          <t>3:49</t>
        </is>
      </c>
      <c r="C1780" t="inlineStr">
        <is>
          <t>spend a ton on tickets though drive safe</t>
        </is>
      </c>
      <c r="D1780">
        <f>HYPERLINK("https://www.youtube.com/watch?v=usYWT1tC7bs&amp;t=229s", "Go to time")</f>
        <v/>
      </c>
    </row>
    <row r="1781">
      <c r="A1781">
        <f>HYPERLINK("https://www.youtube.com/watch?v=aUxTLFDDjBY", "Video")</f>
        <v/>
      </c>
      <c r="B1781" t="inlineStr">
        <is>
          <t>0:42</t>
        </is>
      </c>
      <c r="C1781" t="inlineStr">
        <is>
          <t>in this country we drive on the left</t>
        </is>
      </c>
      <c r="D1781">
        <f>HYPERLINK("https://www.youtube.com/watch?v=aUxTLFDDjBY&amp;t=42s", "Go to time")</f>
        <v/>
      </c>
    </row>
    <row r="1782">
      <c r="A1782">
        <f>HYPERLINK("https://www.youtube.com/watch?v=SRtHlWf6q3c", "Video")</f>
        <v/>
      </c>
      <c r="B1782" t="inlineStr">
        <is>
          <t>0:28</t>
        </is>
      </c>
      <c r="C1782" t="inlineStr">
        <is>
          <t>You drive to campus, go to the library, look</t>
        </is>
      </c>
      <c r="D1782">
        <f>HYPERLINK("https://www.youtube.com/watch?v=SRtHlWf6q3c&amp;t=28s", "Go to time")</f>
        <v/>
      </c>
    </row>
    <row r="1783">
      <c r="A1783">
        <f>HYPERLINK("https://www.youtube.com/watch?v=PVKdoj7APbE", "Video")</f>
        <v/>
      </c>
      <c r="B1783" t="inlineStr">
        <is>
          <t>17:29</t>
        </is>
      </c>
      <c r="C1783" t="inlineStr">
        <is>
          <t>just because I drive to Malibu every</t>
        </is>
      </c>
      <c r="D1783">
        <f>HYPERLINK("https://www.youtube.com/watch?v=PVKdoj7APbE&amp;t=1049s", "Go to time")</f>
        <v/>
      </c>
    </row>
    <row r="1784">
      <c r="A1784">
        <f>HYPERLINK("https://www.youtube.com/watch?v=D6flAoMDAzs", "Video")</f>
        <v/>
      </c>
      <c r="B1784" t="inlineStr">
        <is>
          <t>9:06</t>
        </is>
      </c>
      <c r="C1784" t="inlineStr">
        <is>
          <t>Strike! Where's the driver?</t>
        </is>
      </c>
      <c r="D1784">
        <f>HYPERLINK("https://www.youtube.com/watch?v=D6flAoMDAzs&amp;t=546s", "Go to time")</f>
        <v/>
      </c>
    </row>
    <row r="1785">
      <c r="A1785">
        <f>HYPERLINK("https://www.youtube.com/watch?v=ZJ2RRWMr_xE", "Video")</f>
        <v/>
      </c>
      <c r="B1785" t="inlineStr">
        <is>
          <t>0:10</t>
        </is>
      </c>
      <c r="C1785" t="inlineStr">
        <is>
          <t>Being driven away.</t>
        </is>
      </c>
      <c r="D1785">
        <f>HYPERLINK("https://www.youtube.com/watch?v=ZJ2RRWMr_xE&amp;t=10s", "Go to time")</f>
        <v/>
      </c>
    </row>
    <row r="1786">
      <c r="A1786">
        <f>HYPERLINK("https://www.youtube.com/watch?v=zeL4ls6ZPiU", "Video")</f>
        <v/>
      </c>
      <c r="B1786" t="inlineStr">
        <is>
          <t>4:01</t>
        </is>
      </c>
      <c r="C1786" t="inlineStr">
        <is>
          <t>Then I can drive myself over to Jason's and
to the mall and school and work.</t>
        </is>
      </c>
      <c r="D1786">
        <f>HYPERLINK("https://www.youtube.com/watch?v=zeL4ls6ZPiU&amp;t=241s", "Go to time")</f>
        <v/>
      </c>
    </row>
    <row r="1787">
      <c r="A1787">
        <f>HYPERLINK("https://www.youtube.com/watch?v=zeL4ls6ZPiU", "Video")</f>
        <v/>
      </c>
      <c r="B1787" t="inlineStr">
        <is>
          <t>4:08</t>
        </is>
      </c>
      <c r="C1787" t="inlineStr">
        <is>
          <t>Well, that's assuming you passed your
driver's test.</t>
        </is>
      </c>
      <c r="D1787">
        <f>HYPERLINK("https://www.youtube.com/watch?v=zeL4ls6ZPiU&amp;t=248s", "Go to time")</f>
        <v/>
      </c>
    </row>
    <row r="1788">
      <c r="A1788">
        <f>HYPERLINK("https://www.youtube.com/watch?v=kjtobhSRiN0", "Video")</f>
        <v/>
      </c>
      <c r="B1788" t="inlineStr">
        <is>
          <t>4:01</t>
        </is>
      </c>
      <c r="C1788" t="inlineStr">
        <is>
          <t>What in the taxi driver?</t>
        </is>
      </c>
      <c r="D1788">
        <f>HYPERLINK("https://www.youtube.com/watch?v=kjtobhSRiN0&amp;t=241s", "Go to time")</f>
        <v/>
      </c>
    </row>
    <row r="1789">
      <c r="A1789">
        <f>HYPERLINK("https://www.youtube.com/watch?v=gW5jeCGCfgo", "Video")</f>
        <v/>
      </c>
      <c r="B1789" t="inlineStr">
        <is>
          <t>4:02</t>
        </is>
      </c>
      <c r="C1789" t="inlineStr">
        <is>
          <t>essentially functioned like a drive-in</t>
        </is>
      </c>
      <c r="D1789">
        <f>HYPERLINK("https://www.youtube.com/watch?v=gW5jeCGCfgo&amp;t=242s", "Go to time")</f>
        <v/>
      </c>
    </row>
    <row r="1790">
      <c r="A1790">
        <f>HYPERLINK("https://www.youtube.com/watch?v=Oh6UtFi_BDc", "Video")</f>
        <v/>
      </c>
      <c r="B1790" t="inlineStr">
        <is>
          <t>6:13</t>
        </is>
      </c>
      <c r="C1790" t="inlineStr">
        <is>
          <t>You drive.</t>
        </is>
      </c>
      <c r="D1790">
        <f>HYPERLINK("https://www.youtube.com/watch?v=Oh6UtFi_BDc&amp;t=373s", "Go to time")</f>
        <v/>
      </c>
    </row>
    <row r="1791">
      <c r="A1791">
        <f>HYPERLINK("https://www.youtube.com/watch?v=Oh6UtFi_BDc", "Video")</f>
        <v/>
      </c>
      <c r="B1791" t="inlineStr">
        <is>
          <t>6:15</t>
        </is>
      </c>
      <c r="C1791" t="inlineStr">
        <is>
          <t>Because I am obviously too drunk to drive.</t>
        </is>
      </c>
      <c r="D1791">
        <f>HYPERLINK("https://www.youtube.com/watch?v=Oh6UtFi_BDc&amp;t=375s", "Go to time")</f>
        <v/>
      </c>
    </row>
    <row r="1792">
      <c r="A1792">
        <f>HYPERLINK("https://www.youtube.com/watch?v=55smhC3ASvI", "Video")</f>
        <v/>
      </c>
      <c r="B1792" t="inlineStr">
        <is>
          <t>5:18</t>
        </is>
      </c>
      <c r="C1792" t="inlineStr">
        <is>
          <t>sexy mom even though at times it drives</t>
        </is>
      </c>
      <c r="D1792">
        <f>HYPERLINK("https://www.youtube.com/watch?v=55smhC3ASvI&amp;t=318s", "Go to time")</f>
        <v/>
      </c>
    </row>
    <row r="1793">
      <c r="A1793">
        <f>HYPERLINK("https://www.youtube.com/watch?v=XmOvgKSKokY", "Video")</f>
        <v/>
      </c>
      <c r="B1793" t="inlineStr">
        <is>
          <t>0:56</t>
        </is>
      </c>
      <c r="C1793" t="inlineStr">
        <is>
          <t>of those weird Uber drivers that doesn't</t>
        </is>
      </c>
      <c r="D1793">
        <f>HYPERLINK("https://www.youtube.com/watch?v=XmOvgKSKokY&amp;t=56s", "Go to time")</f>
        <v/>
      </c>
    </row>
    <row r="1794">
      <c r="A1794">
        <f>HYPERLINK("https://www.youtube.com/watch?v=6uBSu9kGCcw", "Video")</f>
        <v/>
      </c>
      <c r="B1794" t="inlineStr">
        <is>
          <t>0:13</t>
        </is>
      </c>
      <c r="C1794" t="inlineStr">
        <is>
          <t>about to let you drive 2 hours to go to</t>
        </is>
      </c>
      <c r="D1794">
        <f>HYPERLINK("https://www.youtube.com/watch?v=6uBSu9kGCcw&amp;t=13s", "Go to time")</f>
        <v/>
      </c>
    </row>
    <row r="1795">
      <c r="A1795">
        <f>HYPERLINK("https://www.youtube.com/watch?v=dMBtocZSTdY", "Video")</f>
        <v/>
      </c>
      <c r="B1795" t="inlineStr">
        <is>
          <t>3:05</t>
        </is>
      </c>
      <c r="C1795" t="inlineStr">
        <is>
          <t>and then we drive off and oh I'm not</t>
        </is>
      </c>
      <c r="D1795">
        <f>HYPERLINK("https://www.youtube.com/watch?v=dMBtocZSTdY&amp;t=185s", "Go to time")</f>
        <v/>
      </c>
    </row>
    <row r="1796">
      <c r="A1796">
        <f>HYPERLINK("https://www.youtube.com/watch?v=MRiZxs_4BLQ", "Video")</f>
        <v/>
      </c>
      <c r="B1796" t="inlineStr">
        <is>
          <t>0:25</t>
        </is>
      </c>
      <c r="C1796" t="inlineStr">
        <is>
          <t>And it's only a 40 minute drive.</t>
        </is>
      </c>
      <c r="D1796">
        <f>HYPERLINK("https://www.youtube.com/watch?v=MRiZxs_4BLQ&amp;t=25s", "Go to time")</f>
        <v/>
      </c>
    </row>
    <row r="1797">
      <c r="A1797">
        <f>HYPERLINK("https://www.youtube.com/watch?v=w3JwczE2SkI", "Video")</f>
        <v/>
      </c>
      <c r="B1797" t="inlineStr">
        <is>
          <t>4:55</t>
        </is>
      </c>
      <c r="C1797" t="inlineStr">
        <is>
          <t>wonder oh it'll drive them mad with the</t>
        </is>
      </c>
      <c r="D1797">
        <f>HYPERLINK("https://www.youtube.com/watch?v=w3JwczE2SkI&amp;t=295s", "Go to time")</f>
        <v/>
      </c>
    </row>
    <row r="1798">
      <c r="A1798">
        <f>HYPERLINK("https://www.youtube.com/watch?v=KA-0_daTXhc", "Video")</f>
        <v/>
      </c>
      <c r="B1798" t="inlineStr">
        <is>
          <t>1:02</t>
        </is>
      </c>
      <c r="C1798" t="inlineStr">
        <is>
          <t>We can drive by them on the way to the bee.</t>
        </is>
      </c>
      <c r="D1798">
        <f>HYPERLINK("https://www.youtube.com/watch?v=KA-0_daTXhc&amp;t=62s", "Go to time")</f>
        <v/>
      </c>
    </row>
    <row r="1799">
      <c r="A1799">
        <f>HYPERLINK("https://www.youtube.com/watch?v=KA-0_daTXhc", "Video")</f>
        <v/>
      </c>
      <c r="B1799" t="inlineStr">
        <is>
          <t>1:51</t>
        </is>
      </c>
      <c r="C1799" t="inlineStr">
        <is>
          <t>rest. We can drive through somewhere.</t>
        </is>
      </c>
      <c r="D1799">
        <f>HYPERLINK("https://www.youtube.com/watch?v=KA-0_daTXhc&amp;t=111s", "Go to time")</f>
        <v/>
      </c>
    </row>
    <row r="1800">
      <c r="A1800">
        <f>HYPERLINK("https://www.youtube.com/watch?v=KA-0_daTXhc", "Video")</f>
        <v/>
      </c>
      <c r="B1800" t="inlineStr">
        <is>
          <t>2:54</t>
        </is>
      </c>
      <c r="C1800" t="inlineStr">
        <is>
          <t>If we drive an hour and a half out of our
way to look at some stump.</t>
        </is>
      </c>
      <c r="D1800">
        <f>HYPERLINK("https://www.youtube.com/watch?v=KA-0_daTXhc&amp;t=174s", "Go to time")</f>
        <v/>
      </c>
    </row>
    <row r="1801">
      <c r="A1801">
        <f>HYPERLINK("https://www.youtube.com/watch?v=lQbvA4yj1N0", "Video")</f>
        <v/>
      </c>
      <c r="B1801" t="inlineStr">
        <is>
          <t>3:01</t>
        </is>
      </c>
      <c r="C1801" t="inlineStr">
        <is>
          <t>all right drive your polluted soul back</t>
        </is>
      </c>
      <c r="D1801">
        <f>HYPERLINK("https://www.youtube.com/watch?v=lQbvA4yj1N0&amp;t=181s", "Go to time")</f>
        <v/>
      </c>
    </row>
    <row r="1802">
      <c r="A1802">
        <f>HYPERLINK("https://www.youtube.com/watch?v=lQbvA4yj1N0", "Video")</f>
        <v/>
      </c>
      <c r="B1802" t="inlineStr">
        <is>
          <t>7:25</t>
        </is>
      </c>
      <c r="C1802" t="inlineStr">
        <is>
          <t>on her driver's license her last name</t>
        </is>
      </c>
      <c r="D1802">
        <f>HYPERLINK("https://www.youtube.com/watch?v=lQbvA4yj1N0&amp;t=445s", "Go to time")</f>
        <v/>
      </c>
    </row>
    <row r="1803">
      <c r="A1803">
        <f>HYPERLINK("https://www.youtube.com/watch?v=EA95wqkUTqo", "Video")</f>
        <v/>
      </c>
      <c r="B1803" t="inlineStr">
        <is>
          <t>2:24</t>
        </is>
      </c>
      <c r="C1803" t="inlineStr">
        <is>
          <t>overdrive fees i feel like future hey we</t>
        </is>
      </c>
      <c r="D1803">
        <f>HYPERLINK("https://www.youtube.com/watch?v=EA95wqkUTqo&amp;t=144s", "Go to time")</f>
        <v/>
      </c>
    </row>
    <row r="1804">
      <c r="A1804">
        <f>HYPERLINK("https://www.youtube.com/watch?v=5JJq-7GOrzU", "Video")</f>
        <v/>
      </c>
      <c r="B1804" t="inlineStr">
        <is>
          <t>3:21</t>
        </is>
      </c>
      <c r="C1804" t="inlineStr">
        <is>
          <t>offering to drive me to work</t>
        </is>
      </c>
      <c r="D1804">
        <f>HYPERLINK("https://www.youtube.com/watch?v=5JJq-7GOrzU&amp;t=201s", "Go to time")</f>
        <v/>
      </c>
    </row>
    <row r="1805">
      <c r="A1805">
        <f>HYPERLINK("https://www.youtube.com/watch?v=5JJq-7GOrzU", "Video")</f>
        <v/>
      </c>
      <c r="B1805" t="inlineStr">
        <is>
          <t>3:53</t>
        </is>
      </c>
      <c r="C1805" t="inlineStr">
        <is>
          <t>sure as hell wouldn't drive to queens to</t>
        </is>
      </c>
      <c r="D1805">
        <f>HYPERLINK("https://www.youtube.com/watch?v=5JJq-7GOrzU&amp;t=233s", "Go to time")</f>
        <v/>
      </c>
    </row>
    <row r="1806">
      <c r="A1806">
        <f>HYPERLINK("https://www.youtube.com/watch?v=nulE-rCLvg4", "Video")</f>
        <v/>
      </c>
      <c r="B1806" t="inlineStr">
        <is>
          <t>0:08</t>
        </is>
      </c>
      <c r="C1806" t="inlineStr">
        <is>
          <t>partner that drives you crazy really the</t>
        </is>
      </c>
      <c r="D1806">
        <f>HYPERLINK("https://www.youtube.com/watch?v=nulE-rCLvg4&amp;t=8s", "Go to time")</f>
        <v/>
      </c>
    </row>
    <row r="1807">
      <c r="A1807">
        <f>HYPERLINK("https://www.youtube.com/watch?v=nulE-rCLvg4", "Video")</f>
        <v/>
      </c>
      <c r="B1807" t="inlineStr">
        <is>
          <t>0:28</t>
        </is>
      </c>
      <c r="C1807" t="inlineStr">
        <is>
          <t>say it a lot and it drives him crazy</t>
        </is>
      </c>
      <c r="D1807">
        <f>HYPERLINK("https://www.youtube.com/watch?v=nulE-rCLvg4&amp;t=28s", "Go to time")</f>
        <v/>
      </c>
    </row>
    <row r="1808">
      <c r="A1808">
        <f>HYPERLINK("https://www.youtube.com/watch?v=1aN3IbZnThg", "Video")</f>
        <v/>
      </c>
      <c r="B1808" t="inlineStr">
        <is>
          <t>0:53</t>
        </is>
      </c>
      <c r="C1808" t="inlineStr">
        <is>
          <t>You do realize when you're out on the road, other drivers are going to be watching you?</t>
        </is>
      </c>
      <c r="D1808">
        <f>HYPERLINK("https://www.youtube.com/watch?v=1aN3IbZnThg&amp;t=53s", "Go to time")</f>
        <v/>
      </c>
    </row>
    <row r="1809">
      <c r="A1809">
        <f>HYPERLINK("https://www.youtube.com/watch?v=1aN3IbZnThg", "Video")</f>
        <v/>
      </c>
      <c r="B1809" t="inlineStr">
        <is>
          <t>1:05</t>
        </is>
      </c>
      <c r="C1809" t="inlineStr">
        <is>
          <t>When you drive, you have to be confident.</t>
        </is>
      </c>
      <c r="D1809">
        <f>HYPERLINK("https://www.youtube.com/watch?v=1aN3IbZnThg&amp;t=65s", "Go to time")</f>
        <v/>
      </c>
    </row>
    <row r="1810">
      <c r="A1810">
        <f>HYPERLINK("https://www.youtube.com/watch?v=1aN3IbZnThg", "Video")</f>
        <v/>
      </c>
      <c r="B1810" t="inlineStr">
        <is>
          <t>4:21</t>
        </is>
      </c>
      <c r="C1810" t="inlineStr">
        <is>
          <t>But I don't think it's physically possible to do that from the driver's seat.</t>
        </is>
      </c>
      <c r="D1810">
        <f>HYPERLINK("https://www.youtube.com/watch?v=1aN3IbZnThg&amp;t=261s", "Go to time")</f>
        <v/>
      </c>
    </row>
    <row r="1811">
      <c r="A1811">
        <f>HYPERLINK("https://www.youtube.com/watch?v=7rV1P8PYpPs", "Video")</f>
        <v/>
      </c>
      <c r="B1811" t="inlineStr">
        <is>
          <t>8:07</t>
        </is>
      </c>
      <c r="C1811" t="inlineStr">
        <is>
          <t>He lives on the corner, and I was going to Pondview Drive.</t>
        </is>
      </c>
      <c r="D1811">
        <f>HYPERLINK("https://www.youtube.com/watch?v=7rV1P8PYpPs&amp;t=487s", "Go to time")</f>
        <v/>
      </c>
    </row>
    <row r="1812">
      <c r="A1812">
        <f>HYPERLINK("https://www.youtube.com/watch?v=7rV1P8PYpPs", "Video")</f>
        <v/>
      </c>
      <c r="B1812" t="inlineStr">
        <is>
          <t>15:24</t>
        </is>
      </c>
      <c r="C1812" t="inlineStr">
        <is>
          <t>You do realize when you're out on the road, other drivers are going to be watching you?</t>
        </is>
      </c>
      <c r="D1812">
        <f>HYPERLINK("https://www.youtube.com/watch?v=7rV1P8PYpPs&amp;t=924s", "Go to time")</f>
        <v/>
      </c>
    </row>
    <row r="1813">
      <c r="A1813">
        <f>HYPERLINK("https://www.youtube.com/watch?v=7rV1P8PYpPs", "Video")</f>
        <v/>
      </c>
      <c r="B1813" t="inlineStr">
        <is>
          <t>15:36</t>
        </is>
      </c>
      <c r="C1813" t="inlineStr">
        <is>
          <t>When you drive, you have to be confident.</t>
        </is>
      </c>
      <c r="D1813">
        <f>HYPERLINK("https://www.youtube.com/watch?v=7rV1P8PYpPs&amp;t=936s", "Go to time")</f>
        <v/>
      </c>
    </row>
    <row r="1814">
      <c r="A1814">
        <f>HYPERLINK("https://www.youtube.com/watch?v=JAV2kU-rJ8E", "Video")</f>
        <v/>
      </c>
      <c r="B1814" t="inlineStr">
        <is>
          <t>1:28</t>
        </is>
      </c>
      <c r="C1814" t="inlineStr">
        <is>
          <t>curiosity what kind of car does he drive</t>
        </is>
      </c>
      <c r="D1814">
        <f>HYPERLINK("https://www.youtube.com/watch?v=JAV2kU-rJ8E&amp;t=88s", "Go to time")</f>
        <v/>
      </c>
    </row>
    <row r="1815">
      <c r="A1815">
        <f>HYPERLINK("https://www.youtube.com/watch?v=PZ2fPntwfmE", "Video")</f>
        <v/>
      </c>
      <c r="B1815" t="inlineStr">
        <is>
          <t>4:59</t>
        </is>
      </c>
      <c r="C1815" t="inlineStr">
        <is>
          <t>Sue was driven.</t>
        </is>
      </c>
      <c r="D1815">
        <f>HYPERLINK("https://www.youtube.com/watch?v=PZ2fPntwfmE&amp;t=299s", "Go to time")</f>
        <v/>
      </c>
    </row>
    <row r="1816">
      <c r="A1816">
        <f>HYPERLINK("https://www.youtube.com/watch?v=PZ2fPntwfmE", "Video")</f>
        <v/>
      </c>
      <c r="B1816" t="inlineStr">
        <is>
          <t>5:01</t>
        </is>
      </c>
      <c r="C1816" t="inlineStr">
        <is>
          <t>She was driven by Mike all over Indiana.</t>
        </is>
      </c>
      <c r="D1816">
        <f>HYPERLINK("https://www.youtube.com/watch?v=PZ2fPntwfmE&amp;t=301s", "Go to time")</f>
        <v/>
      </c>
    </row>
    <row r="1817">
      <c r="A1817">
        <f>HYPERLINK("https://www.youtube.com/watch?v=PZ2fPntwfmE", "Video")</f>
        <v/>
      </c>
      <c r="B1817" t="inlineStr">
        <is>
          <t>7:03</t>
        </is>
      </c>
      <c r="C1817" t="inlineStr">
        <is>
          <t>You miss the bus, and now I have to drive you
to school.</t>
        </is>
      </c>
      <c r="D1817">
        <f>HYPERLINK("https://www.youtube.com/watch?v=PZ2fPntwfmE&amp;t=423s", "Go to time")</f>
        <v/>
      </c>
    </row>
    <row r="1818">
      <c r="A1818">
        <f>HYPERLINK("https://www.youtube.com/watch?v=PZ2fPntwfmE", "Video")</f>
        <v/>
      </c>
      <c r="B1818" t="inlineStr">
        <is>
          <t>10:40</t>
        </is>
      </c>
      <c r="C1818" t="inlineStr">
        <is>
          <t>us off and then wait for us so we don't get
stuck behind some slow driver looking for a</t>
        </is>
      </c>
      <c r="D1818">
        <f>HYPERLINK("https://www.youtube.com/watch?v=PZ2fPntwfmE&amp;t=640s", "Go to time")</f>
        <v/>
      </c>
    </row>
    <row r="1819">
      <c r="A1819">
        <f>HYPERLINK("https://www.youtube.com/watch?v=3xicjEoJUj8", "Video")</f>
        <v/>
      </c>
      <c r="B1819" t="inlineStr">
        <is>
          <t>0:55</t>
        </is>
      </c>
      <c r="C1819" t="inlineStr">
        <is>
          <t>It was ego driven 100%.</t>
        </is>
      </c>
      <c r="D1819">
        <f>HYPERLINK("https://www.youtube.com/watch?v=3xicjEoJUj8&amp;t=55s", "Go to time")</f>
        <v/>
      </c>
    </row>
    <row r="1820">
      <c r="A1820">
        <f>HYPERLINK("https://www.youtube.com/watch?v=3xicjEoJUj8", "Video")</f>
        <v/>
      </c>
      <c r="B1820" t="inlineStr">
        <is>
          <t>1:23</t>
        </is>
      </c>
      <c r="C1820" t="inlineStr">
        <is>
          <t>driven, like and you're not getting the</t>
        </is>
      </c>
      <c r="D1820">
        <f>HYPERLINK("https://www.youtube.com/watch?v=3xicjEoJUj8&amp;t=83s", "Go to time")</f>
        <v/>
      </c>
    </row>
    <row r="1821">
      <c r="A1821">
        <f>HYPERLINK("https://www.youtube.com/watch?v=3xicjEoJUj8", "Video")</f>
        <v/>
      </c>
      <c r="B1821" t="inlineStr">
        <is>
          <t>4:58</t>
        </is>
      </c>
      <c r="C1821" t="inlineStr">
        <is>
          <t>Forest Hills Drive. I had it all mapped</t>
        </is>
      </c>
      <c r="D1821">
        <f>HYPERLINK("https://www.youtube.com/watch?v=3xicjEoJUj8&amp;t=298s", "Go to time")</f>
        <v/>
      </c>
    </row>
    <row r="1822">
      <c r="A1822">
        <f>HYPERLINK("https://www.youtube.com/watch?v=2hOK3YpKdLE", "Video")</f>
        <v/>
      </c>
      <c r="B1822" t="inlineStr">
        <is>
          <t>3:19</t>
        </is>
      </c>
      <c r="C1822" t="inlineStr">
        <is>
          <t>the driveway</t>
        </is>
      </c>
      <c r="D1822">
        <f>HYPERLINK("https://www.youtube.com/watch?v=2hOK3YpKdLE&amp;t=199s", "Go to time")</f>
        <v/>
      </c>
    </row>
    <row r="1823">
      <c r="A1823">
        <f>HYPERLINK("https://www.youtube.com/watch?v=2hOK3YpKdLE", "Video")</f>
        <v/>
      </c>
      <c r="B1823" t="inlineStr">
        <is>
          <t>3:24</t>
        </is>
      </c>
      <c r="C1823" t="inlineStr">
        <is>
          <t>walk up the driveway</t>
        </is>
      </c>
      <c r="D1823">
        <f>HYPERLINK("https://www.youtube.com/watch?v=2hOK3YpKdLE&amp;t=204s", "Go to time")</f>
        <v/>
      </c>
    </row>
    <row r="1824">
      <c r="A1824">
        <f>HYPERLINK("https://www.youtube.com/watch?v=2hOK3YpKdLE", "Video")</f>
        <v/>
      </c>
      <c r="B1824" t="inlineStr">
        <is>
          <t>3:30</t>
        </is>
      </c>
      <c r="C1824" t="inlineStr">
        <is>
          <t>on what the wedding on the driveway i'm</t>
        </is>
      </c>
      <c r="D1824">
        <f>HYPERLINK("https://www.youtube.com/watch?v=2hOK3YpKdLE&amp;t=210s", "Go to time")</f>
        <v/>
      </c>
    </row>
    <row r="1825">
      <c r="A1825">
        <f>HYPERLINK("https://www.youtube.com/watch?v=2hOK3YpKdLE", "Video")</f>
        <v/>
      </c>
      <c r="B1825" t="inlineStr">
        <is>
          <t>3:32</t>
        </is>
      </c>
      <c r="C1825" t="inlineStr">
        <is>
          <t>just thinking going up the driveway that</t>
        </is>
      </c>
      <c r="D1825">
        <f>HYPERLINK("https://www.youtube.com/watch?v=2hOK3YpKdLE&amp;t=212s", "Go to time")</f>
        <v/>
      </c>
    </row>
    <row r="1826">
      <c r="A1826">
        <f>HYPERLINK("https://www.youtube.com/watch?v=2hOK3YpKdLE", "Video")</f>
        <v/>
      </c>
      <c r="B1826" t="inlineStr">
        <is>
          <t>4:03</t>
        </is>
      </c>
      <c r="C1826" t="inlineStr">
        <is>
          <t>actually no not the driveway mom because</t>
        </is>
      </c>
      <c r="D1826">
        <f>HYPERLINK("https://www.youtube.com/watch?v=2hOK3YpKdLE&amp;t=243s", "Go to time")</f>
        <v/>
      </c>
    </row>
    <row r="1827">
      <c r="A1827">
        <f>HYPERLINK("https://www.youtube.com/watch?v=uWfPJdax5i4", "Video")</f>
        <v/>
      </c>
      <c r="B1827" t="inlineStr">
        <is>
          <t>3:45</t>
        </is>
      </c>
      <c r="C1827" t="inlineStr">
        <is>
          <t>back to me it's a continuation drive to</t>
        </is>
      </c>
      <c r="D1827">
        <f>HYPERLINK("https://www.youtube.com/watch?v=uWfPJdax5i4&amp;t=225s", "Go to time")</f>
        <v/>
      </c>
    </row>
    <row r="1828">
      <c r="A1828">
        <f>HYPERLINK("https://www.youtube.com/watch?v=Kpk6opDp3_8", "Video")</f>
        <v/>
      </c>
      <c r="B1828" t="inlineStr">
        <is>
          <t>0:55</t>
        </is>
      </c>
      <c r="C1828" t="inlineStr">
        <is>
          <t>drunk driver, and then everything goes
wrong.</t>
        </is>
      </c>
      <c r="D1828">
        <f>HYPERLINK("https://www.youtube.com/watch?v=Kpk6opDp3_8&amp;t=55s", "Go to time")</f>
        <v/>
      </c>
    </row>
    <row r="1829">
      <c r="A1829">
        <f>HYPERLINK("https://www.youtube.com/watch?v=_Z_72ABaNUo", "Video")</f>
        <v/>
      </c>
      <c r="B1829" t="inlineStr">
        <is>
          <t>0:38</t>
        </is>
      </c>
      <c r="C1829" t="inlineStr">
        <is>
          <t>Slow. Put the files on a flash drive and have</t>
        </is>
      </c>
      <c r="D1829">
        <f>HYPERLINK("https://www.youtube.com/watch?v=_Z_72ABaNUo&amp;t=38s", "Go to time")</f>
        <v/>
      </c>
    </row>
    <row r="1830">
      <c r="A1830">
        <f>HYPERLINK("https://www.youtube.com/watch?v=_Z_72ABaNUo", "Video")</f>
        <v/>
      </c>
      <c r="B1830" t="inlineStr">
        <is>
          <t>2:21</t>
        </is>
      </c>
      <c r="C1830" t="inlineStr">
        <is>
          <t>drive. Just take it.</t>
        </is>
      </c>
      <c r="D1830">
        <f>HYPERLINK("https://www.youtube.com/watch?v=_Z_72ABaNUo&amp;t=141s", "Go to time")</f>
        <v/>
      </c>
    </row>
    <row r="1831">
      <c r="A1831">
        <f>HYPERLINK("https://www.youtube.com/watch?v=_Z_72ABaNUo", "Video")</f>
        <v/>
      </c>
      <c r="B1831" t="inlineStr">
        <is>
          <t>2:42</t>
        </is>
      </c>
      <c r="C1831" t="inlineStr">
        <is>
          <t>drive. There's a laptop in the front seat.</t>
        </is>
      </c>
      <c r="D1831">
        <f>HYPERLINK("https://www.youtube.com/watch?v=_Z_72ABaNUo&amp;t=162s", "Go to time")</f>
        <v/>
      </c>
    </row>
    <row r="1832">
      <c r="A1832">
        <f>HYPERLINK("https://www.youtube.com/watch?v=oKBY8bJB3V4", "Video")</f>
        <v/>
      </c>
      <c r="B1832" t="inlineStr">
        <is>
          <t>5:47</t>
        </is>
      </c>
      <c r="C1832" t="inlineStr">
        <is>
          <t>Exactly a three hour and 20 minute drive</t>
        </is>
      </c>
      <c r="D1832">
        <f>HYPERLINK("https://www.youtube.com/watch?v=oKBY8bJB3V4&amp;t=347s", "Go to time")</f>
        <v/>
      </c>
    </row>
    <row r="1833">
      <c r="A1833">
        <f>HYPERLINK("https://www.youtube.com/watch?v=oKBY8bJB3V4", "Video")</f>
        <v/>
      </c>
      <c r="B1833" t="inlineStr">
        <is>
          <t>5:48</t>
        </is>
      </c>
      <c r="C1833" t="inlineStr">
        <is>
          <t>So you're saying you made that drive</t>
        </is>
      </c>
      <c r="D1833">
        <f>HYPERLINK("https://www.youtube.com/watch?v=oKBY8bJB3V4&amp;t=348s", "Go to time")</f>
        <v/>
      </c>
    </row>
    <row r="1834">
      <c r="A1834">
        <f>HYPERLINK("https://www.youtube.com/watch?v=BAUgeWdYNAM", "Video")</f>
        <v/>
      </c>
      <c r="B1834" t="inlineStr">
        <is>
          <t>0:41</t>
        </is>
      </c>
      <c r="C1834" t="inlineStr">
        <is>
          <t>Look,
could you drive up to the college with us?</t>
        </is>
      </c>
      <c r="D1834">
        <f>HYPERLINK("https://www.youtube.com/watch?v=BAUgeWdYNAM&amp;t=41s", "Go to time")</f>
        <v/>
      </c>
    </row>
    <row r="1835">
      <c r="A1835">
        <f>HYPERLINK("https://www.youtube.com/watch?v=DpntvSNMURY", "Video")</f>
        <v/>
      </c>
      <c r="B1835" t="inlineStr">
        <is>
          <t>5:09</t>
        </is>
      </c>
      <c r="C1835" t="inlineStr">
        <is>
          <t>client's apartment to drive him out.</t>
        </is>
      </c>
      <c r="D1835">
        <f>HYPERLINK("https://www.youtube.com/watch?v=DpntvSNMURY&amp;t=309s", "Go to time")</f>
        <v/>
      </c>
    </row>
    <row r="1836">
      <c r="A1836">
        <f>HYPERLINK("https://www.youtube.com/watch?v=DpntvSNMURY", "Video")</f>
        <v/>
      </c>
      <c r="B1836" t="inlineStr">
        <is>
          <t>12:18</t>
        </is>
      </c>
      <c r="C1836" t="inlineStr">
        <is>
          <t>Three hour and 20 minute drive from</t>
        </is>
      </c>
      <c r="D1836">
        <f>HYPERLINK("https://www.youtube.com/watch?v=DpntvSNMURY&amp;t=738s", "Go to time")</f>
        <v/>
      </c>
    </row>
    <row r="1837">
      <c r="A1837">
        <f>HYPERLINK("https://www.youtube.com/watch?v=DpntvSNMURY", "Video")</f>
        <v/>
      </c>
      <c r="B1837" t="inlineStr">
        <is>
          <t>12:19</t>
        </is>
      </c>
      <c r="C1837" t="inlineStr">
        <is>
          <t>Harvard. So you're saying you made that drive</t>
        </is>
      </c>
      <c r="D1837">
        <f>HYPERLINK("https://www.youtube.com/watch?v=DpntvSNMURY&amp;t=739s", "Go to time")</f>
        <v/>
      </c>
    </row>
    <row r="1838">
      <c r="A1838">
        <f>HYPERLINK("https://www.youtube.com/watch?v=qKwL3H4BBfc", "Video")</f>
        <v/>
      </c>
      <c r="B1838" t="inlineStr">
        <is>
          <t>2:00</t>
        </is>
      </c>
      <c r="C1838" t="inlineStr">
        <is>
          <t>the driveway instead of going to the</t>
        </is>
      </c>
      <c r="D1838">
        <f>HYPERLINK("https://www.youtube.com/watch?v=qKwL3H4BBfc&amp;t=120s", "Go to time")</f>
        <v/>
      </c>
    </row>
    <row r="1839">
      <c r="A1839">
        <f>HYPERLINK("https://www.youtube.com/watch?v=C4khFFBJGSw", "Video")</f>
        <v/>
      </c>
      <c r="B1839" t="inlineStr">
        <is>
          <t>6:50</t>
        </is>
      </c>
      <c r="C1839" t="inlineStr">
        <is>
          <t>drive my son around until he's 40.</t>
        </is>
      </c>
      <c r="D1839">
        <f>HYPERLINK("https://www.youtube.com/watch?v=C4khFFBJGSw&amp;t=410s", "Go to time")</f>
        <v/>
      </c>
    </row>
    <row r="1840">
      <c r="A1840">
        <f>HYPERLINK("https://www.youtube.com/watch?v=E7ap_eCWxYI", "Video")</f>
        <v/>
      </c>
      <c r="B1840" t="inlineStr">
        <is>
          <t>4:16</t>
        </is>
      </c>
      <c r="C1840" t="inlineStr">
        <is>
          <t>i drive a jag i live at the beach and</t>
        </is>
      </c>
      <c r="D1840">
        <f>HYPERLINK("https://www.youtube.com/watch?v=E7ap_eCWxYI&amp;t=256s", "Go to time")</f>
        <v/>
      </c>
    </row>
    <row r="1841">
      <c r="A1841">
        <f>HYPERLINK("https://www.youtube.com/watch?v=88y_HARZERM", "Video")</f>
        <v/>
      </c>
      <c r="B1841" t="inlineStr">
        <is>
          <t>11:25</t>
        </is>
      </c>
      <c r="C1841" t="inlineStr">
        <is>
          <t>uh take my flash drive and i'll do some</t>
        </is>
      </c>
      <c r="D1841">
        <f>HYPERLINK("https://www.youtube.com/watch?v=88y_HARZERM&amp;t=685s", "Go to time")</f>
        <v/>
      </c>
    </row>
    <row r="1842">
      <c r="A1842">
        <f>HYPERLINK("https://www.youtube.com/watch?v=88y_HARZERM", "Video")</f>
        <v/>
      </c>
      <c r="B1842" t="inlineStr">
        <is>
          <t>11:39</t>
        </is>
      </c>
      <c r="C1842" t="inlineStr">
        <is>
          <t>and give me the flash drive</t>
        </is>
      </c>
      <c r="D1842">
        <f>HYPERLINK("https://www.youtube.com/watch?v=88y_HARZERM&amp;t=699s", "Go to time")</f>
        <v/>
      </c>
    </row>
    <row r="1843">
      <c r="A1843">
        <f>HYPERLINK("https://www.youtube.com/watch?v=88y_HARZERM", "Video")</f>
        <v/>
      </c>
      <c r="B1843" t="inlineStr">
        <is>
          <t>11:46</t>
        </is>
      </c>
      <c r="C1843" t="inlineStr">
        <is>
          <t>give me the flash drive give me the</t>
        </is>
      </c>
      <c r="D1843">
        <f>HYPERLINK("https://www.youtube.com/watch?v=88y_HARZERM&amp;t=706s", "Go to time")</f>
        <v/>
      </c>
    </row>
    <row r="1844">
      <c r="A1844">
        <f>HYPERLINK("https://www.youtube.com/watch?v=5CRaqOh_AFI", "Video")</f>
        <v/>
      </c>
      <c r="B1844" t="inlineStr">
        <is>
          <t>2:55</t>
        </is>
      </c>
      <c r="C1844" t="inlineStr">
        <is>
          <t>not ivy league but so close it drives</t>
        </is>
      </c>
      <c r="D1844">
        <f>HYPERLINK("https://www.youtube.com/watch?v=5CRaqOh_AFI&amp;t=175s", "Go to time")</f>
        <v/>
      </c>
    </row>
    <row r="1845">
      <c r="A1845">
        <f>HYPERLINK("https://www.youtube.com/watch?v=wu0WEohNSnM", "Video")</f>
        <v/>
      </c>
      <c r="B1845" t="inlineStr">
        <is>
          <t>3:15</t>
        </is>
      </c>
      <c r="C1845" t="inlineStr">
        <is>
          <t>See, I drive to a lot of people's houses and and deliver packages to them.</t>
        </is>
      </c>
      <c r="D1845">
        <f>HYPERLINK("https://www.youtube.com/watch?v=wu0WEohNSnM&amp;t=195s", "Go to time")</f>
        <v/>
      </c>
    </row>
    <row r="1846">
      <c r="A1846">
        <f>HYPERLINK("https://www.youtube.com/watch?v=YvOSd9IOJqY", "Video")</f>
        <v/>
      </c>
      <c r="B1846" t="inlineStr">
        <is>
          <t>2:43</t>
        </is>
      </c>
      <c r="C1846" t="inlineStr">
        <is>
          <t>was driven by Fury your government knew</t>
        </is>
      </c>
      <c r="D1846">
        <f>HYPERLINK("https://www.youtube.com/watch?v=YvOSd9IOJqY&amp;t=163s", "Go to time")</f>
        <v/>
      </c>
    </row>
    <row r="1847">
      <c r="A1847">
        <f>HYPERLINK("https://www.youtube.com/watch?v=fPSoLCpY1qA", "Video")</f>
        <v/>
      </c>
      <c r="B1847" t="inlineStr">
        <is>
          <t>1:17</t>
        </is>
      </c>
      <c r="C1847" t="inlineStr">
        <is>
          <t>for a school drive he shows up with 50</t>
        </is>
      </c>
      <c r="D1847">
        <f>HYPERLINK("https://www.youtube.com/watch?v=fPSoLCpY1qA&amp;t=77s", "Go to time")</f>
        <v/>
      </c>
    </row>
    <row r="1848">
      <c r="A1848">
        <f>HYPERLINK("https://www.youtube.com/watch?v=HZzy92ldIjc", "Video")</f>
        <v/>
      </c>
      <c r="B1848" t="inlineStr">
        <is>
          <t>7:49</t>
        </is>
      </c>
      <c r="C1848" t="inlineStr">
        <is>
          <t>take a little Drive give you a chance to</t>
        </is>
      </c>
      <c r="D1848">
        <f>HYPERLINK("https://www.youtube.com/watch?v=HZzy92ldIjc&amp;t=469s", "Go to time")</f>
        <v/>
      </c>
    </row>
    <row r="1849">
      <c r="A1849">
        <f>HYPERLINK("https://www.youtube.com/watch?v=YjfqCyjfEq8", "Video")</f>
        <v/>
      </c>
      <c r="B1849" t="inlineStr">
        <is>
          <t>12:24</t>
        </is>
      </c>
      <c r="C1849" t="inlineStr">
        <is>
          <t>driver and henchman Howard he's loved</t>
        </is>
      </c>
      <c r="D1849">
        <f>HYPERLINK("https://www.youtube.com/watch?v=YjfqCyjfEq8&amp;t=744s", "Go to time")</f>
        <v/>
      </c>
    </row>
    <row r="1850">
      <c r="A1850">
        <f>HYPERLINK("https://www.youtube.com/watch?v=LdTTMnoPc44", "Video")</f>
        <v/>
      </c>
      <c r="B1850" t="inlineStr">
        <is>
          <t>1:13</t>
        </is>
      </c>
      <c r="C1850" t="inlineStr">
        <is>
          <t>Still Moments this drive</t>
        </is>
      </c>
      <c r="D1850">
        <f>HYPERLINK("https://www.youtube.com/watch?v=LdTTMnoPc44&amp;t=73s", "Go to time")</f>
        <v/>
      </c>
    </row>
    <row r="1851">
      <c r="A1851">
        <f>HYPERLINK("https://www.youtube.com/watch?v=LdTTMnoPc44", "Video")</f>
        <v/>
      </c>
      <c r="B1851" t="inlineStr">
        <is>
          <t>7:46</t>
        </is>
      </c>
      <c r="C1851" t="inlineStr">
        <is>
          <t>because we got to be up early and drive</t>
        </is>
      </c>
      <c r="D1851">
        <f>HYPERLINK("https://www.youtube.com/watch?v=LdTTMnoPc44&amp;t=466s", "Go to time")</f>
        <v/>
      </c>
    </row>
    <row r="1852">
      <c r="A1852">
        <f>HYPERLINK("https://www.youtube.com/watch?v=rCUXAiaF5xE", "Video")</f>
        <v/>
      </c>
      <c r="B1852" t="inlineStr">
        <is>
          <t>1:08</t>
        </is>
      </c>
      <c r="C1852" t="inlineStr">
        <is>
          <t>driveway</t>
        </is>
      </c>
      <c r="D1852">
        <f>HYPERLINK("https://www.youtube.com/watch?v=rCUXAiaF5xE&amp;t=68s", "Go to time")</f>
        <v/>
      </c>
    </row>
    <row r="1853">
      <c r="A1853">
        <f>HYPERLINK("https://www.youtube.com/watch?v=z_gFwHeqBxc", "Video")</f>
        <v/>
      </c>
      <c r="B1853" t="inlineStr">
        <is>
          <t>5:48</t>
        </is>
      </c>
      <c r="C1853" t="inlineStr">
        <is>
          <t>of behavior would have driven me wild</t>
        </is>
      </c>
      <c r="D1853">
        <f>HYPERLINK("https://www.youtube.com/watch?v=z_gFwHeqBxc&amp;t=348s", "Go to time")</f>
        <v/>
      </c>
    </row>
    <row r="1854">
      <c r="A1854">
        <f>HYPERLINK("https://www.youtube.com/watch?v=ObfBHRBDai8", "Video")</f>
        <v/>
      </c>
      <c r="B1854" t="inlineStr">
        <is>
          <t>2:44</t>
        </is>
      </c>
      <c r="C1854" t="inlineStr">
        <is>
          <t>One is I take you and all this s***, and I
drive you down to the sheriff's office, and</t>
        </is>
      </c>
      <c r="D1854">
        <f>HYPERLINK("https://www.youtube.com/watch?v=ObfBHRBDai8&amp;t=164s", "Go to time")</f>
        <v/>
      </c>
    </row>
    <row r="1855">
      <c r="A1855">
        <f>HYPERLINK("https://www.youtube.com/watch?v=ObfBHRBDai8", "Video")</f>
        <v/>
      </c>
      <c r="B1855" t="inlineStr">
        <is>
          <t>7:12</t>
        </is>
      </c>
      <c r="C1855" t="inlineStr">
        <is>
          <t>growling stomach don't drive your mom nuts
on the way home.</t>
        </is>
      </c>
      <c r="D1855">
        <f>HYPERLINK("https://www.youtube.com/watch?v=ObfBHRBDai8&amp;t=432s", "Go to time")</f>
        <v/>
      </c>
    </row>
    <row r="1856">
      <c r="A1856">
        <f>HYPERLINK("https://www.youtube.com/watch?v=PKAfydDIfrg", "Video")</f>
        <v/>
      </c>
      <c r="B1856" t="inlineStr">
        <is>
          <t>3:04</t>
        </is>
      </c>
      <c r="C1856" t="inlineStr">
        <is>
          <t>going to drive home</t>
        </is>
      </c>
      <c r="D1856">
        <f>HYPERLINK("https://www.youtube.com/watch?v=PKAfydDIfrg&amp;t=184s", "Go to time")</f>
        <v/>
      </c>
    </row>
    <row r="1857">
      <c r="A1857">
        <f>HYPERLINK("https://www.youtube.com/watch?v=ywQfhsKzvO0", "Video")</f>
        <v/>
      </c>
      <c r="B1857" t="inlineStr">
        <is>
          <t>0:26</t>
        </is>
      </c>
      <c r="C1857" t="inlineStr">
        <is>
          <t>up she drives you here you know you're</t>
        </is>
      </c>
      <c r="D1857">
        <f>HYPERLINK("https://www.youtube.com/watch?v=ywQfhsKzvO0&amp;t=26s", "Go to time")</f>
        <v/>
      </c>
    </row>
    <row r="1858">
      <c r="A1858">
        <f>HYPERLINK("https://www.youtube.com/watch?v=ywQfhsKzvO0", "Video")</f>
        <v/>
      </c>
      <c r="B1858" t="inlineStr">
        <is>
          <t>1:07</t>
        </is>
      </c>
      <c r="C1858" t="inlineStr">
        <is>
          <t>car you drive to miss Well's Department</t>
        </is>
      </c>
      <c r="D1858">
        <f>HYPERLINK("https://www.youtube.com/watch?v=ywQfhsKzvO0&amp;t=67s", "Go to time")</f>
        <v/>
      </c>
    </row>
    <row r="1859">
      <c r="A1859">
        <f>HYPERLINK("https://www.youtube.com/watch?v=ywQfhsKzvO0", "Video")</f>
        <v/>
      </c>
      <c r="B1859" t="inlineStr">
        <is>
          <t>2:06</t>
        </is>
      </c>
      <c r="C1859" t="inlineStr">
        <is>
          <t>my car and driven it around just to test</t>
        </is>
      </c>
      <c r="D1859">
        <f>HYPERLINK("https://www.youtube.com/watch?v=ywQfhsKzvO0&amp;t=126s", "Go to time")</f>
        <v/>
      </c>
    </row>
    <row r="1860">
      <c r="A1860">
        <f>HYPERLINK("https://www.youtube.com/watch?v=ywQfhsKzvO0", "Video")</f>
        <v/>
      </c>
      <c r="B1860" t="inlineStr">
        <is>
          <t>6:25</t>
        </is>
      </c>
      <c r="C1860" t="inlineStr">
        <is>
          <t>do you want me to drive you back</t>
        </is>
      </c>
      <c r="D1860">
        <f>HYPERLINK("https://www.youtube.com/watch?v=ywQfhsKzvO0&amp;t=385s", "Go to time")</f>
        <v/>
      </c>
    </row>
    <row r="1861">
      <c r="A1861">
        <f>HYPERLINK("https://www.youtube.com/watch?v=ywQfhsKzvO0", "Video")</f>
        <v/>
      </c>
      <c r="B1861" t="inlineStr">
        <is>
          <t>6:57</t>
        </is>
      </c>
      <c r="C1861" t="inlineStr">
        <is>
          <t>back and an hour to drive up here</t>
        </is>
      </c>
      <c r="D1861">
        <f>HYPERLINK("https://www.youtube.com/watch?v=ywQfhsKzvO0&amp;t=417s", "Go to time")</f>
        <v/>
      </c>
    </row>
    <row r="1862">
      <c r="A1862">
        <f>HYPERLINK("https://www.youtube.com/watch?v=ywQfhsKzvO0", "Video")</f>
        <v/>
      </c>
      <c r="B1862" t="inlineStr">
        <is>
          <t>7:56</t>
        </is>
      </c>
      <c r="C1862" t="inlineStr">
        <is>
          <t>know a man drives a rented car he takes</t>
        </is>
      </c>
      <c r="D1862">
        <f>HYPERLINK("https://www.youtube.com/watch?v=ywQfhsKzvO0&amp;t=476s", "Go to time")</f>
        <v/>
      </c>
    </row>
    <row r="1863">
      <c r="A1863">
        <f>HYPERLINK("https://www.youtube.com/watch?v=NMm1TUgF1UY", "Video")</f>
        <v/>
      </c>
      <c r="B1863" t="inlineStr">
        <is>
          <t>2:16</t>
        </is>
      </c>
      <c r="C1863" t="inlineStr">
        <is>
          <t>driveby Jen Shaw's house are you serious</t>
        </is>
      </c>
      <c r="D1863">
        <f>HYPERLINK("https://www.youtube.com/watch?v=NMm1TUgF1UY&amp;t=136s", "Go to time")</f>
        <v/>
      </c>
    </row>
    <row r="1864">
      <c r="A1864">
        <f>HYPERLINK("https://www.youtube.com/watch?v=NMm1TUgF1UY", "Video")</f>
        <v/>
      </c>
      <c r="B1864" t="inlineStr">
        <is>
          <t>2:19</t>
        </is>
      </c>
      <c r="C1864" t="inlineStr">
        <is>
          <t>right now yes you used to do driveby</t>
        </is>
      </c>
      <c r="D1864">
        <f>HYPERLINK("https://www.youtube.com/watch?v=NMm1TUgF1UY&amp;t=139s", "Go to time")</f>
        <v/>
      </c>
    </row>
    <row r="1865">
      <c r="A1865">
        <f>HYPERLINK("https://www.youtube.com/watch?v=NMm1TUgF1UY", "Video")</f>
        <v/>
      </c>
      <c r="B1865" t="inlineStr">
        <is>
          <t>2:23</t>
        </is>
      </c>
      <c r="C1865" t="inlineStr">
        <is>
          <t>driveby when I was with her all the time</t>
        </is>
      </c>
      <c r="D1865">
        <f>HYPERLINK("https://www.youtube.com/watch?v=NMm1TUgF1UY&amp;t=143s", "Go to time")</f>
        <v/>
      </c>
    </row>
    <row r="1866">
      <c r="A1866">
        <f>HYPERLINK("https://www.youtube.com/watch?v=VXED2AVlbR0", "Video")</f>
        <v/>
      </c>
      <c r="B1866" t="inlineStr">
        <is>
          <t>3:59</t>
        </is>
      </c>
      <c r="C1866" t="inlineStr">
        <is>
          <t>that drive to dodge 15 everybody Brea be</t>
        </is>
      </c>
      <c r="D1866">
        <f>HYPERLINK("https://www.youtube.com/watch?v=VXED2AVlbR0&amp;t=239s", "Go to time")</f>
        <v/>
      </c>
    </row>
    <row r="1867">
      <c r="A1867">
        <f>HYPERLINK("https://www.youtube.com/watch?v=0ajdIVchoso", "Video")</f>
        <v/>
      </c>
      <c r="B1867" t="inlineStr">
        <is>
          <t>3:57</t>
        </is>
      </c>
      <c r="C1867" t="inlineStr">
        <is>
          <t>A if I could drive I'd do</t>
        </is>
      </c>
      <c r="D1867">
        <f>HYPERLINK("https://www.youtube.com/watch?v=0ajdIVchoso&amp;t=237s", "Go to time")</f>
        <v/>
      </c>
    </row>
    <row r="1868">
      <c r="A1868">
        <f>HYPERLINK("https://www.youtube.com/watch?v=PyOS37BzIMA", "Video")</f>
        <v/>
      </c>
      <c r="B1868" t="inlineStr">
        <is>
          <t>15:35</t>
        </is>
      </c>
      <c r="C1868" t="inlineStr">
        <is>
          <t>Margarit driver's</t>
        </is>
      </c>
      <c r="D1868">
        <f>HYPERLINK("https://www.youtube.com/watch?v=PyOS37BzIMA&amp;t=935s", "Go to time")</f>
        <v/>
      </c>
    </row>
    <row r="1869">
      <c r="A1869">
        <f>HYPERLINK("https://www.youtube.com/watch?v=LXgzx5Yw4s0", "Video")</f>
        <v/>
      </c>
      <c r="B1869" t="inlineStr">
        <is>
          <t>1:27</t>
        </is>
      </c>
      <c r="C1869" t="inlineStr">
        <is>
          <t>We drive to Queens.</t>
        </is>
      </c>
      <c r="D1869">
        <f>HYPERLINK("https://www.youtube.com/watch?v=LXgzx5Yw4s0&amp;t=87s", "Go to time")</f>
        <v/>
      </c>
    </row>
    <row r="1870">
      <c r="A1870">
        <f>HYPERLINK("https://www.youtube.com/watch?v=aZmirvVHvjg", "Video")</f>
        <v/>
      </c>
      <c r="B1870" t="inlineStr">
        <is>
          <t>2:26</t>
        </is>
      </c>
      <c r="C1870" t="inlineStr">
        <is>
          <t>When do the drivers start
ramming into each other?</t>
        </is>
      </c>
      <c r="D1870">
        <f>HYPERLINK("https://www.youtube.com/watch?v=aZmirvVHvjg&amp;t=146s", "Go to time")</f>
        <v/>
      </c>
    </row>
    <row r="1871">
      <c r="A1871">
        <f>HYPERLINK("https://www.youtube.com/watch?v=aZmirvVHvjg", "Video")</f>
        <v/>
      </c>
      <c r="B1871" t="inlineStr">
        <is>
          <t>2:43</t>
        </is>
      </c>
      <c r="C1871" t="inlineStr">
        <is>
          <t>You know, that's why I always
wear a diaper when I drive,</t>
        </is>
      </c>
      <c r="D1871">
        <f>HYPERLINK("https://www.youtube.com/watch?v=aZmirvVHvjg&amp;t=163s", "Go to time")</f>
        <v/>
      </c>
    </row>
    <row r="1872">
      <c r="A1872">
        <f>HYPERLINK("https://www.youtube.com/watch?v=JtZQ_2mpc80", "Video")</f>
        <v/>
      </c>
      <c r="B1872" t="inlineStr">
        <is>
          <t>10:14</t>
        </is>
      </c>
      <c r="C1872" t="inlineStr">
        <is>
          <t>got to drive the boat he's got to drive</t>
        </is>
      </c>
      <c r="D1872">
        <f>HYPERLINK("https://www.youtube.com/watch?v=JtZQ_2mpc80&amp;t=614s", "Go to time")</f>
        <v/>
      </c>
    </row>
    <row r="1873">
      <c r="A1873">
        <f>HYPERLINK("https://www.youtube.com/watch?v=KDe06Dro4rA", "Video")</f>
        <v/>
      </c>
      <c r="B1873" t="inlineStr">
        <is>
          <t>1:29</t>
        </is>
      </c>
      <c r="C1873" t="inlineStr">
        <is>
          <t>Can you drive me into town,</t>
        </is>
      </c>
      <c r="D1873">
        <f>HYPERLINK("https://www.youtube.com/watch?v=KDe06Dro4rA&amp;t=89s", "Go to time")</f>
        <v/>
      </c>
    </row>
    <row r="1874">
      <c r="A1874">
        <f>HYPERLINK("https://www.youtube.com/watch?v=KDe06Dro4rA", "Video")</f>
        <v/>
      </c>
      <c r="B1874" t="inlineStr">
        <is>
          <t>1:35</t>
        </is>
      </c>
      <c r="C1874" t="inlineStr">
        <is>
          <t>And then, yes, I'll drive you anywhere you</t>
        </is>
      </c>
      <c r="D1874">
        <f>HYPERLINK("https://www.youtube.com/watch?v=KDe06Dro4rA&amp;t=95s", "Go to time")</f>
        <v/>
      </c>
    </row>
    <row r="1875">
      <c r="A1875">
        <f>HYPERLINK("https://www.youtube.com/watch?v=62q4A1c2xuk", "Video")</f>
        <v/>
      </c>
      <c r="B1875" t="inlineStr">
        <is>
          <t>4:37</t>
        </is>
      </c>
      <c r="C1875" t="inlineStr">
        <is>
          <t>A drive in's a good one.</t>
        </is>
      </c>
      <c r="D1875">
        <f>HYPERLINK("https://www.youtube.com/watch?v=62q4A1c2xuk&amp;t=277s", "Go to time")</f>
        <v/>
      </c>
    </row>
    <row r="1876">
      <c r="A1876">
        <f>HYPERLINK("https://www.youtube.com/watch?v=X1OnN5GX_Iw", "Video")</f>
        <v/>
      </c>
      <c r="B1876" t="inlineStr">
        <is>
          <t>3:12</t>
        </is>
      </c>
      <c r="C1876" t="inlineStr">
        <is>
          <t>Give it a little test drive. What do you
say?</t>
        </is>
      </c>
      <c r="D1876">
        <f>HYPERLINK("https://www.youtube.com/watch?v=X1OnN5GX_Iw&amp;t=192s", "Go to time")</f>
        <v/>
      </c>
    </row>
    <row r="1877">
      <c r="A1877">
        <f>HYPERLINK("https://www.youtube.com/watch?v=6yAn7_OY47o", "Video")</f>
        <v/>
      </c>
      <c r="B1877" t="inlineStr">
        <is>
          <t>1:45</t>
        </is>
      </c>
      <c r="C1877" t="inlineStr">
        <is>
          <t>on your desk or it's gonna drive me</t>
        </is>
      </c>
      <c r="D1877">
        <f>HYPERLINK("https://www.youtube.com/watch?v=6yAn7_OY47o&amp;t=105s", "Go to time")</f>
        <v/>
      </c>
    </row>
    <row r="1878">
      <c r="A1878">
        <f>HYPERLINK("https://www.youtube.com/watch?v=6yAn7_OY47o", "Video")</f>
        <v/>
      </c>
      <c r="B1878" t="inlineStr">
        <is>
          <t>15:46</t>
        </is>
      </c>
      <c r="C1878" t="inlineStr">
        <is>
          <t>how's the drive in</t>
        </is>
      </c>
      <c r="D1878">
        <f>HYPERLINK("https://www.youtube.com/watch?v=6yAn7_OY47o&amp;t=946s", "Go to time")</f>
        <v/>
      </c>
    </row>
    <row r="1879">
      <c r="A1879">
        <f>HYPERLINK("https://www.youtube.com/watch?v=6yAn7_OY47o", "Video")</f>
        <v/>
      </c>
      <c r="B1879" t="inlineStr">
        <is>
          <t>15:47</t>
        </is>
      </c>
      <c r="C1879" t="inlineStr">
        <is>
          <t>nobody knows how to drive in the rain</t>
        </is>
      </c>
      <c r="D1879">
        <f>HYPERLINK("https://www.youtube.com/watch?v=6yAn7_OY47o&amp;t=947s", "Go to time")</f>
        <v/>
      </c>
    </row>
    <row r="1880">
      <c r="A1880">
        <f>HYPERLINK("https://www.youtube.com/watch?v=41OyVdi62-4", "Video")</f>
        <v/>
      </c>
      <c r="B1880" t="inlineStr">
        <is>
          <t>0:56</t>
        </is>
      </c>
      <c r="C1880" t="inlineStr">
        <is>
          <t>all trying to find a designated driver</t>
        </is>
      </c>
      <c r="D1880">
        <f>HYPERLINK("https://www.youtube.com/watch?v=41OyVdi62-4&amp;t=56s", "Go to time")</f>
        <v/>
      </c>
    </row>
    <row r="1881">
      <c r="A1881">
        <f>HYPERLINK("https://www.youtube.com/watch?v=T-pD44QQA8M", "Video")</f>
        <v/>
      </c>
      <c r="B1881" t="inlineStr">
        <is>
          <t>3:13</t>
        </is>
      </c>
      <c r="C1881" t="inlineStr">
        <is>
          <t>on her driver's license her last name</t>
        </is>
      </c>
      <c r="D1881">
        <f>HYPERLINK("https://www.youtube.com/watch?v=T-pD44QQA8M&amp;t=193s", "Go to time")</f>
        <v/>
      </c>
    </row>
    <row r="1882">
      <c r="A1882">
        <f>HYPERLINK("https://www.youtube.com/watch?v=JJivFinaNPY", "Video")</f>
        <v/>
      </c>
      <c r="B1882" t="inlineStr">
        <is>
          <t>3:06</t>
        </is>
      </c>
      <c r="C1882" t="inlineStr">
        <is>
          <t>i'll drive you wherever you want</t>
        </is>
      </c>
      <c r="D1882">
        <f>HYPERLINK("https://www.youtube.com/watch?v=JJivFinaNPY&amp;t=186s", "Go to time")</f>
        <v/>
      </c>
    </row>
    <row r="1883">
      <c r="A1883">
        <f>HYPERLINK("https://www.youtube.com/watch?v=JJivFinaNPY", "Video")</f>
        <v/>
      </c>
      <c r="B1883" t="inlineStr">
        <is>
          <t>4:24</t>
        </is>
      </c>
      <c r="C1883" t="inlineStr">
        <is>
          <t>the wrong screwdriver so i'll be right</t>
        </is>
      </c>
      <c r="D1883">
        <f>HYPERLINK("https://www.youtube.com/watch?v=JJivFinaNPY&amp;t=264s", "Go to time")</f>
        <v/>
      </c>
    </row>
    <row r="1884">
      <c r="A1884">
        <f>HYPERLINK("https://www.youtube.com/watch?v=EHRumGWPj_A", "Video")</f>
        <v/>
      </c>
      <c r="B1884" t="inlineStr">
        <is>
          <t>1:32</t>
        </is>
      </c>
      <c r="C1884" t="inlineStr">
        <is>
          <t>driveway you had neighbors friends and</t>
        </is>
      </c>
      <c r="D1884">
        <f>HYPERLINK("https://www.youtube.com/watch?v=EHRumGWPj_A&amp;t=92s", "Go to time")</f>
        <v/>
      </c>
    </row>
    <row r="1885">
      <c r="A1885">
        <f>HYPERLINK("https://www.youtube.com/watch?v=EHRumGWPj_A", "Video")</f>
        <v/>
      </c>
      <c r="B1885" t="inlineStr">
        <is>
          <t>2:58</t>
        </is>
      </c>
      <c r="C1885" t="inlineStr">
        <is>
          <t>husband and the dri driveway I saw in</t>
        </is>
      </c>
      <c r="D1885">
        <f>HYPERLINK("https://www.youtube.com/watch?v=EHRumGWPj_A&amp;t=178s", "Go to time")</f>
        <v/>
      </c>
    </row>
    <row r="1886">
      <c r="A1886">
        <f>HYPERLINK("https://www.youtube.com/watch?v=ptLE35Du2Dc", "Video")</f>
        <v/>
      </c>
      <c r="B1886" t="inlineStr">
        <is>
          <t>0:26</t>
        </is>
      </c>
      <c r="C1886" t="inlineStr">
        <is>
          <t>I'll need to end every last driver</t>
        </is>
      </c>
      <c r="D1886">
        <f>HYPERLINK("https://www.youtube.com/watch?v=ptLE35Du2Dc&amp;t=26s", "Go to time")</f>
        <v/>
      </c>
    </row>
    <row r="1887">
      <c r="A1887">
        <f>HYPERLINK("https://www.youtube.com/watch?v=izTjwdgDWQc", "Video")</f>
        <v/>
      </c>
      <c r="B1887" t="inlineStr">
        <is>
          <t>4:13</t>
        </is>
      </c>
      <c r="C1887" t="inlineStr">
        <is>
          <t>it does not take a male brain to drive</t>
        </is>
      </c>
      <c r="D1887">
        <f>HYPERLINK("https://www.youtube.com/watch?v=izTjwdgDWQc&amp;t=253s", "Go to time")</f>
        <v/>
      </c>
    </row>
    <row r="1888">
      <c r="A1888">
        <f>HYPERLINK("https://www.youtube.com/watch?v=izTjwdgDWQc", "Video")</f>
        <v/>
      </c>
      <c r="B1888" t="inlineStr">
        <is>
          <t>4:18</t>
        </is>
      </c>
      <c r="C1888" t="inlineStr">
        <is>
          <t>driver's test and the instructor sat in</t>
        </is>
      </c>
      <c r="D1888">
        <f>HYPERLINK("https://www.youtube.com/watch?v=izTjwdgDWQc&amp;t=258s", "Go to time")</f>
        <v/>
      </c>
    </row>
    <row r="1889">
      <c r="A1889">
        <f>HYPERLINK("https://www.youtube.com/watch?v=cSKqaXFyNX4", "Video")</f>
        <v/>
      </c>
      <c r="B1889" t="inlineStr">
        <is>
          <t>2:42</t>
        </is>
      </c>
      <c r="C1889" t="inlineStr">
        <is>
          <t>and I drive my mom's station wagon to</t>
        </is>
      </c>
      <c r="D1889">
        <f>HYPERLINK("https://www.youtube.com/watch?v=cSKqaXFyNX4&amp;t=162s", "Go to time")</f>
        <v/>
      </c>
    </row>
    <row r="1890">
      <c r="A1890">
        <f>HYPERLINK("https://www.youtube.com/watch?v=fIkNpt92aK4", "Video")</f>
        <v/>
      </c>
      <c r="B1890" t="inlineStr">
        <is>
          <t>5:25</t>
        </is>
      </c>
      <c r="C1890" t="inlineStr">
        <is>
          <t>Always good to exercise after a long drive</t>
        </is>
      </c>
      <c r="D1890">
        <f>HYPERLINK("https://www.youtube.com/watch?v=fIkNpt92aK4&amp;t=325s", "Go to time")</f>
        <v/>
      </c>
    </row>
    <row r="1891">
      <c r="A1891">
        <f>HYPERLINK("https://www.youtube.com/watch?v=JHKeAc1Oaws", "Video")</f>
        <v/>
      </c>
      <c r="B1891" t="inlineStr">
        <is>
          <t>1:48</t>
        </is>
      </c>
      <c r="C1891" t="inlineStr">
        <is>
          <t>kindness favorite place to drive to the</t>
        </is>
      </c>
      <c r="D1891">
        <f>HYPERLINK("https://www.youtube.com/watch?v=JHKeAc1Oaws&amp;t=108s", "Go to time")</f>
        <v/>
      </c>
    </row>
    <row r="1892">
      <c r="A1892">
        <f>HYPERLINK("https://www.youtube.com/watch?v=JHKeAc1Oaws", "Video")</f>
        <v/>
      </c>
      <c r="B1892" t="inlineStr">
        <is>
          <t>1:53</t>
        </is>
      </c>
      <c r="C1892" t="inlineStr">
        <is>
          <t>drive to because I get so pumped up</t>
        </is>
      </c>
      <c r="D1892">
        <f>HYPERLINK("https://www.youtube.com/watch?v=JHKeAc1Oaws&amp;t=113s", "Go to time")</f>
        <v/>
      </c>
    </row>
    <row r="1893">
      <c r="A1893">
        <f>HYPERLINK("https://www.youtube.com/watch?v=JHKeAc1Oaws", "Video")</f>
        <v/>
      </c>
      <c r="B1893" t="inlineStr">
        <is>
          <t>1:57</t>
        </is>
      </c>
      <c r="C1893" t="inlineStr">
        <is>
          <t>favorite person to drive with my God Mom</t>
        </is>
      </c>
      <c r="D1893">
        <f>HYPERLINK("https://www.youtube.com/watch?v=JHKeAc1Oaws&amp;t=117s", "Go to time")</f>
        <v/>
      </c>
    </row>
    <row r="1894">
      <c r="A1894">
        <f>HYPERLINK("https://www.youtube.com/watch?v=FKlxI-nGBWM", "Video")</f>
        <v/>
      </c>
      <c r="B1894" t="inlineStr">
        <is>
          <t>0:22</t>
        </is>
      </c>
      <c r="C1894" t="inlineStr">
        <is>
          <t>land line so I'll call and I'll drive</t>
        </is>
      </c>
      <c r="D1894">
        <f>HYPERLINK("https://www.youtube.com/watch?v=FKlxI-nGBWM&amp;t=22s", "Go to time")</f>
        <v/>
      </c>
    </row>
    <row r="1895">
      <c r="A1895">
        <f>HYPERLINK("https://www.youtube.com/watch?v=i7p-OaPL3to", "Video")</f>
        <v/>
      </c>
      <c r="B1895" t="inlineStr">
        <is>
          <t>1:30</t>
        </is>
      </c>
      <c r="C1895" t="inlineStr">
        <is>
          <t>hey I am in the best mood my Uber driver</t>
        </is>
      </c>
      <c r="D1895">
        <f>HYPERLINK("https://www.youtube.com/watch?v=i7p-OaPL3to&amp;t=90s", "Go to time")</f>
        <v/>
      </c>
    </row>
    <row r="1896">
      <c r="A1896">
        <f>HYPERLINK("https://www.youtube.com/watch?v=i7p-OaPL3to", "Video")</f>
        <v/>
      </c>
      <c r="B1896" t="inlineStr">
        <is>
          <t>1:32</t>
        </is>
      </c>
      <c r="C1896" t="inlineStr">
        <is>
          <t>looked just like Adam Driver you guys</t>
        </is>
      </c>
      <c r="D1896">
        <f>HYPERLINK("https://www.youtube.com/watch?v=i7p-OaPL3to&amp;t=92s", "Go to time")</f>
        <v/>
      </c>
    </row>
    <row r="1897">
      <c r="A1897">
        <f>HYPERLINK("https://www.youtube.com/watch?v=cAjw_Eihbt4", "Video")</f>
        <v/>
      </c>
      <c r="B1897" t="inlineStr">
        <is>
          <t>2:28</t>
        </is>
      </c>
      <c r="C1897" t="inlineStr">
        <is>
          <t>driven and all looking for their</t>
        </is>
      </c>
      <c r="D1897">
        <f>HYPERLINK("https://www.youtube.com/watch?v=cAjw_Eihbt4&amp;t=148s", "Go to time")</f>
        <v/>
      </c>
    </row>
    <row r="1898">
      <c r="A1898">
        <f>HYPERLINK("https://www.youtube.com/watch?v=5V1TFLIYUsk", "Video")</f>
        <v/>
      </c>
      <c r="B1898" t="inlineStr">
        <is>
          <t>10:08</t>
        </is>
      </c>
      <c r="C1898" t="inlineStr">
        <is>
          <t>was printed from your hard drive which</t>
        </is>
      </c>
      <c r="D1898">
        <f>HYPERLINK("https://www.youtube.com/watch?v=5V1TFLIYUsk&amp;t=608s", "Go to time")</f>
        <v/>
      </c>
    </row>
    <row r="1899">
      <c r="A1899">
        <f>HYPERLINK("https://www.youtube.com/watch?v=yGCu7fIgAbQ", "Video")</f>
        <v/>
      </c>
      <c r="B1899" t="inlineStr">
        <is>
          <t>15:17</t>
        </is>
      </c>
      <c r="C1899" t="inlineStr">
        <is>
          <t>was to drive a wiener moment</t>
        </is>
      </c>
      <c r="D1899">
        <f>HYPERLINK("https://www.youtube.com/watch?v=yGCu7fIgAbQ&amp;t=917s", "Go to time")</f>
        <v/>
      </c>
    </row>
    <row r="1900">
      <c r="A1900">
        <f>HYPERLINK("https://www.youtube.com/watch?v=RSGFWVjVWyg", "Video")</f>
        <v/>
      </c>
      <c r="B1900" t="inlineStr">
        <is>
          <t>1:23</t>
        </is>
      </c>
      <c r="C1900" t="inlineStr">
        <is>
          <t>she drives an uber for money her whip</t>
        </is>
      </c>
      <c r="D1900">
        <f>HYPERLINK("https://www.youtube.com/watch?v=RSGFWVjVWyg&amp;t=83s", "Go to time")</f>
        <v/>
      </c>
    </row>
    <row r="1901">
      <c r="A1901">
        <f>HYPERLINK("https://www.youtube.com/watch?v=RSGFWVjVWyg", "Video")</f>
        <v/>
      </c>
      <c r="B1901" t="inlineStr">
        <is>
          <t>1:41</t>
        </is>
      </c>
      <c r="C1901" t="inlineStr">
        <is>
          <t>uber drivers there</t>
        </is>
      </c>
      <c r="D1901">
        <f>HYPERLINK("https://www.youtube.com/watch?v=RSGFWVjVWyg&amp;t=101s", "Go to time")</f>
        <v/>
      </c>
    </row>
    <row r="1902">
      <c r="A1902">
        <f>HYPERLINK("https://www.youtube.com/watch?v=RSGFWVjVWyg", "Video")</f>
        <v/>
      </c>
      <c r="B1902" t="inlineStr">
        <is>
          <t>1:48</t>
        </is>
      </c>
      <c r="C1902" t="inlineStr">
        <is>
          <t>yeah he said if i don't drive simple</t>
        </is>
      </c>
      <c r="D1902">
        <f>HYPERLINK("https://www.youtube.com/watch?v=RSGFWVjVWyg&amp;t=108s", "Go to time")</f>
        <v/>
      </c>
    </row>
    <row r="1903">
      <c r="A1903">
        <f>HYPERLINK("https://www.youtube.com/watch?v=9yW9ptXad74", "Video")</f>
        <v/>
      </c>
      <c r="B1903" t="inlineStr">
        <is>
          <t>2:20</t>
        </is>
      </c>
      <c r="C1903" t="inlineStr">
        <is>
          <t>drive you home carry you upstairs tuck</t>
        </is>
      </c>
      <c r="D1903">
        <f>HYPERLINK("https://www.youtube.com/watch?v=9yW9ptXad74&amp;t=140s", "Go to time")</f>
        <v/>
      </c>
    </row>
    <row r="1904">
      <c r="A1904">
        <f>HYPERLINK("https://www.youtube.com/watch?v=OcQxrm7ur2Y", "Video")</f>
        <v/>
      </c>
      <c r="B1904" t="inlineStr">
        <is>
          <t>0:36</t>
        </is>
      </c>
      <c r="C1904" t="inlineStr">
        <is>
          <t>he's kicking us out and the driver is</t>
        </is>
      </c>
      <c r="D1904">
        <f>HYPERLINK("https://www.youtube.com/watch?v=OcQxrm7ur2Y&amp;t=36s", "Go to time")</f>
        <v/>
      </c>
    </row>
    <row r="1905">
      <c r="A1905">
        <f>HYPERLINK("https://www.youtube.com/watch?v=OcQxrm7ur2Y", "Video")</f>
        <v/>
      </c>
      <c r="B1905" t="inlineStr">
        <is>
          <t>0:51</t>
        </is>
      </c>
      <c r="C1905" t="inlineStr">
        <is>
          <t>the driver pull in because she was</t>
        </is>
      </c>
      <c r="D1905">
        <f>HYPERLINK("https://www.youtube.com/watch?v=OcQxrm7ur2Y&amp;t=51s", "Go to time")</f>
        <v/>
      </c>
    </row>
    <row r="1906">
      <c r="A1906">
        <f>HYPERLINK("https://www.youtube.com/watch?v=y26gnIfc--o", "Video")</f>
        <v/>
      </c>
      <c r="B1906" t="inlineStr">
        <is>
          <t>7:50</t>
        </is>
      </c>
      <c r="C1906" t="inlineStr">
        <is>
          <t>are you a driver there in new jersey i</t>
        </is>
      </c>
      <c r="D1906">
        <f>HYPERLINK("https://www.youtube.com/watch?v=y26gnIfc--o&amp;t=470s", "Go to time")</f>
        <v/>
      </c>
    </row>
    <row r="1907">
      <c r="A1907">
        <f>HYPERLINK("https://www.youtube.com/watch?v=y26gnIfc--o", "Video")</f>
        <v/>
      </c>
      <c r="B1907" t="inlineStr">
        <is>
          <t>7:54</t>
        </is>
      </c>
      <c r="C1907" t="inlineStr">
        <is>
          <t>drive do you use your turn signals</t>
        </is>
      </c>
      <c r="D1907">
        <f>HYPERLINK("https://www.youtube.com/watch?v=y26gnIfc--o&amp;t=474s", "Go to time")</f>
        <v/>
      </c>
    </row>
    <row r="1908">
      <c r="A1908">
        <f>HYPERLINK("https://www.youtube.com/watch?v=y26gnIfc--o", "Video")</f>
        <v/>
      </c>
      <c r="B1908" t="inlineStr">
        <is>
          <t>8:03</t>
        </is>
      </c>
      <c r="C1908" t="inlineStr">
        <is>
          <t>do drive here in jersey wait a minute</t>
        </is>
      </c>
      <c r="D1908">
        <f>HYPERLINK("https://www.youtube.com/watch?v=y26gnIfc--o&amp;t=483s", "Go to time")</f>
        <v/>
      </c>
    </row>
    <row r="1909">
      <c r="A1909">
        <f>HYPERLINK("https://www.youtube.com/watch?v=NY4dSoaZE8Q", "Video")</f>
        <v/>
      </c>
      <c r="B1909" t="inlineStr">
        <is>
          <t>13:50</t>
        </is>
      </c>
      <c r="C1909" t="inlineStr">
        <is>
          <t>No, I can't drive.</t>
        </is>
      </c>
      <c r="D1909">
        <f>HYPERLINK("https://www.youtube.com/watch?v=NY4dSoaZE8Q&amp;t=830s", "Go to time")</f>
        <v/>
      </c>
    </row>
    <row r="1910">
      <c r="A1910">
        <f>HYPERLINK("https://www.youtube.com/watch?v=NY4dSoaZE8Q", "Video")</f>
        <v/>
      </c>
      <c r="B1910" t="inlineStr">
        <is>
          <t>13:51</t>
        </is>
      </c>
      <c r="C1910" t="inlineStr">
        <is>
          <t>Jim, why don't you drive?</t>
        </is>
      </c>
      <c r="D1910">
        <f>HYPERLINK("https://www.youtube.com/watch?v=NY4dSoaZE8Q&amp;t=831s", "Go to time")</f>
        <v/>
      </c>
    </row>
    <row r="1911">
      <c r="A1911">
        <f>HYPERLINK("https://www.youtube.com/watch?v=yieDjqwA3Rk", "Video")</f>
        <v/>
      </c>
      <c r="B1911" t="inlineStr">
        <is>
          <t>10:00</t>
        </is>
      </c>
      <c r="C1911" t="inlineStr">
        <is>
          <t>driver but after that incident that's</t>
        </is>
      </c>
      <c r="D1911">
        <f>HYPERLINK("https://www.youtube.com/watch?v=yieDjqwA3Rk&amp;t=600s", "Go to time")</f>
        <v/>
      </c>
    </row>
    <row r="1912">
      <c r="A1912">
        <f>HYPERLINK("https://www.youtube.com/watch?v=7AGH7DodSEw", "Video")</f>
        <v/>
      </c>
      <c r="B1912" t="inlineStr">
        <is>
          <t>7:17</t>
        </is>
      </c>
      <c r="C1912" t="inlineStr">
        <is>
          <t>48 hours to drive from LA to New York</t>
        </is>
      </c>
      <c r="D1912">
        <f>HYPERLINK("https://www.youtube.com/watch?v=7AGH7DodSEw&amp;t=437s", "Go to time")</f>
        <v/>
      </c>
    </row>
    <row r="1913">
      <c r="A1913">
        <f>HYPERLINK("https://www.youtube.com/watch?v=Bseekg2a7JY", "Video")</f>
        <v/>
      </c>
      <c r="B1913" t="inlineStr">
        <is>
          <t>3:32</t>
        </is>
      </c>
      <c r="C1913" t="inlineStr">
        <is>
          <t>please drive faster i'm bleeding out</t>
        </is>
      </c>
      <c r="D1913">
        <f>HYPERLINK("https://www.youtube.com/watch?v=Bseekg2a7JY&amp;t=212s", "Go to time")</f>
        <v/>
      </c>
    </row>
    <row r="1914">
      <c r="A1914">
        <f>HYPERLINK("https://www.youtube.com/watch?v=knPFV356h-E", "Video")</f>
        <v/>
      </c>
      <c r="B1914" t="inlineStr">
        <is>
          <t>6:16</t>
        </is>
      </c>
      <c r="C1914" t="inlineStr">
        <is>
          <t>xeroxed her driver's license and she is</t>
        </is>
      </c>
      <c r="D1914">
        <f>HYPERLINK("https://www.youtube.com/watch?v=knPFV356h-E&amp;t=376s", "Go to time")</f>
        <v/>
      </c>
    </row>
    <row r="1915">
      <c r="A1915">
        <f>HYPERLINK("https://www.youtube.com/watch?v=k4NqnaW59L4", "Video")</f>
        <v/>
      </c>
      <c r="B1915" t="inlineStr">
        <is>
          <t>1:00</t>
        </is>
      </c>
      <c r="C1915" t="inlineStr">
        <is>
          <t>is you can drive by and vote</t>
        </is>
      </c>
      <c r="D1915">
        <f>HYPERLINK("https://www.youtube.com/watch?v=k4NqnaW59L4&amp;t=60s", "Go to time")</f>
        <v/>
      </c>
    </row>
    <row r="1916">
      <c r="A1916">
        <f>HYPERLINK("https://www.youtube.com/watch?v=TPzwOtjiHaw", "Video")</f>
        <v/>
      </c>
      <c r="B1916" t="inlineStr">
        <is>
          <t>15:26</t>
        </is>
      </c>
      <c r="C1916" t="inlineStr">
        <is>
          <t>You ain't got to drive all the way out here.</t>
        </is>
      </c>
      <c r="D1916">
        <f>HYPERLINK("https://www.youtube.com/watch?v=TPzwOtjiHaw&amp;t=926s", "Go to time")</f>
        <v/>
      </c>
    </row>
    <row r="1917">
      <c r="A1917">
        <f>HYPERLINK("https://www.youtube.com/watch?v=9RmuXOYRWsc", "Video")</f>
        <v/>
      </c>
      <c r="B1917" t="inlineStr">
        <is>
          <t>6:02</t>
        </is>
      </c>
      <c r="C1917" t="inlineStr">
        <is>
          <t>probably will drive gentrification</t>
        </is>
      </c>
      <c r="D1917">
        <f>HYPERLINK("https://www.youtube.com/watch?v=9RmuXOYRWsc&amp;t=362s", "Go to time")</f>
        <v/>
      </c>
    </row>
    <row r="1918">
      <c r="A1918">
        <f>HYPERLINK("https://www.youtube.com/watch?v=zHkeHcjRj1k", "Video")</f>
        <v/>
      </c>
      <c r="B1918" t="inlineStr">
        <is>
          <t>1:35</t>
        </is>
      </c>
      <c r="C1918" t="inlineStr">
        <is>
          <t>oh i drive myself nuts drive myself</t>
        </is>
      </c>
      <c r="D1918">
        <f>HYPERLINK("https://www.youtube.com/watch?v=zHkeHcjRj1k&amp;t=95s", "Go to time")</f>
        <v/>
      </c>
    </row>
    <row r="1919">
      <c r="A1919">
        <f>HYPERLINK("https://www.youtube.com/watch?v=x6Rd0Pat2Q0", "Video")</f>
        <v/>
      </c>
      <c r="B1919" t="inlineStr">
        <is>
          <t>2:17</t>
        </is>
      </c>
      <c r="C1919" t="inlineStr">
        <is>
          <t>to drive if I've had more than six oh</t>
        </is>
      </c>
      <c r="D1919">
        <f>HYPERLINK("https://www.youtube.com/watch?v=x6Rd0Pat2Q0&amp;t=137s", "Go to time")</f>
        <v/>
      </c>
    </row>
    <row r="1920">
      <c r="A1920">
        <f>HYPERLINK("https://www.youtube.com/watch?v=XEyELFki4Ho", "Video")</f>
        <v/>
      </c>
      <c r="B1920" t="inlineStr">
        <is>
          <t>0:51</t>
        </is>
      </c>
      <c r="C1920" t="inlineStr">
        <is>
          <t>Did you drive my van?</t>
        </is>
      </c>
      <c r="D1920">
        <f>HYPERLINK("https://www.youtube.com/watch?v=XEyELFki4Ho&amp;t=51s", "Go to time")</f>
        <v/>
      </c>
    </row>
    <row r="1921">
      <c r="A1921">
        <f>HYPERLINK("https://www.youtube.com/watch?v=YP9ioPU4v8Y", "Video")</f>
        <v/>
      </c>
      <c r="B1921" t="inlineStr">
        <is>
          <t>6:24</t>
        </is>
      </c>
      <c r="C1921" t="inlineStr">
        <is>
          <t>well we don't know how long the driver's</t>
        </is>
      </c>
      <c r="D1921">
        <f>HYPERLINK("https://www.youtube.com/watch?v=YP9ioPU4v8Y&amp;t=384s", "Go to time")</f>
        <v/>
      </c>
    </row>
    <row r="1922">
      <c r="A1922">
        <f>HYPERLINK("https://www.youtube.com/watch?v=HnTW05U8Tic", "Video")</f>
        <v/>
      </c>
      <c r="B1922" t="inlineStr">
        <is>
          <t>1:14</t>
        </is>
      </c>
      <c r="C1922" t="inlineStr">
        <is>
          <t>On her driver's license her last name was</t>
        </is>
      </c>
      <c r="D1922">
        <f>HYPERLINK("https://www.youtube.com/watch?v=HnTW05U8Tic&amp;t=74s", "Go to time")</f>
        <v/>
      </c>
    </row>
    <row r="1923">
      <c r="A1923">
        <f>HYPERLINK("https://www.youtube.com/watch?v=1WE7GBINl88", "Video")</f>
        <v/>
      </c>
      <c r="B1923" t="inlineStr">
        <is>
          <t>6:02</t>
        </is>
      </c>
      <c r="C1923" t="inlineStr">
        <is>
          <t>Stay in that house and drive that car.</t>
        </is>
      </c>
      <c r="D1923">
        <f>HYPERLINK("https://www.youtube.com/watch?v=1WE7GBINl88&amp;t=362s", "Go to time")</f>
        <v/>
      </c>
    </row>
    <row r="1924">
      <c r="A1924">
        <f>HYPERLINK("https://www.youtube.com/watch?v=3jKZT_tIc18", "Video")</f>
        <v/>
      </c>
      <c r="B1924" t="inlineStr">
        <is>
          <t>1:45</t>
        </is>
      </c>
      <c r="C1924" t="inlineStr">
        <is>
          <t>envy the driver's freedom?</t>
        </is>
      </c>
      <c r="D1924">
        <f>HYPERLINK("https://www.youtube.com/watch?v=3jKZT_tIc18&amp;t=105s", "Go to time")</f>
        <v/>
      </c>
    </row>
    <row r="1925">
      <c r="A1925">
        <f>HYPERLINK("https://www.youtube.com/watch?v=p3onNNtztfg", "Video")</f>
        <v/>
      </c>
      <c r="B1925" t="inlineStr">
        <is>
          <t>0:04</t>
        </is>
      </c>
      <c r="C1925" t="inlineStr">
        <is>
          <t>Let me drive you to your doctor.</t>
        </is>
      </c>
      <c r="D1925">
        <f>HYPERLINK("https://www.youtube.com/watch?v=p3onNNtztfg&amp;t=4s", "Go to time")</f>
        <v/>
      </c>
    </row>
    <row r="1926">
      <c r="A1926">
        <f>HYPERLINK("https://www.youtube.com/watch?v=vhNeuG-Y9Fo", "Video")</f>
        <v/>
      </c>
      <c r="B1926" t="inlineStr">
        <is>
          <t>8:21</t>
        </is>
      </c>
      <c r="C1926" t="inlineStr">
        <is>
          <t>it's good that it's cold it will drive</t>
        </is>
      </c>
      <c r="D1926">
        <f>HYPERLINK("https://www.youtube.com/watch?v=vhNeuG-Y9Fo&amp;t=501s", "Go to time")</f>
        <v/>
      </c>
    </row>
    <row r="1927">
      <c r="A1927">
        <f>HYPERLINK("https://www.youtube.com/watch?v=EUsoEiQpZEY", "Video")</f>
        <v/>
      </c>
      <c r="B1927" t="inlineStr">
        <is>
          <t>3:18</t>
        </is>
      </c>
      <c r="C1927" t="inlineStr">
        <is>
          <t>that bag blows up how's the other driver</t>
        </is>
      </c>
      <c r="D1927">
        <f>HYPERLINK("https://www.youtube.com/watch?v=EUsoEiQpZEY&amp;t=198s", "Go to time")</f>
        <v/>
      </c>
    </row>
    <row r="1928">
      <c r="A1928">
        <f>HYPERLINK("https://www.youtube.com/watch?v=c1sAbrTVL3o", "Video")</f>
        <v/>
      </c>
      <c r="B1928" t="inlineStr">
        <is>
          <t>1:13</t>
        </is>
      </c>
      <c r="C1928" t="inlineStr">
        <is>
          <t>driven person she's a very uh</t>
        </is>
      </c>
      <c r="D1928">
        <f>HYPERLINK("https://www.youtube.com/watch?v=c1sAbrTVL3o&amp;t=73s", "Go to time")</f>
        <v/>
      </c>
    </row>
    <row r="1929">
      <c r="A1929">
        <f>HYPERLINK("https://www.youtube.com/watch?v=zcrzm69b0qQ", "Video")</f>
        <v/>
      </c>
      <c r="B1929" t="inlineStr">
        <is>
          <t>12:05</t>
        </is>
      </c>
      <c r="C1929" t="inlineStr">
        <is>
          <t>is catch my check and drive right home</t>
        </is>
      </c>
      <c r="D1929">
        <f>HYPERLINK("https://www.youtube.com/watch?v=zcrzm69b0qQ&amp;t=725s", "Go to time")</f>
        <v/>
      </c>
    </row>
    <row r="1930">
      <c r="A1930">
        <f>HYPERLINK("https://www.youtube.com/watch?v=Q8WvCIpZv7s", "Video")</f>
        <v/>
      </c>
      <c r="B1930" t="inlineStr">
        <is>
          <t>3:03</t>
        </is>
      </c>
      <c r="C1930" t="inlineStr">
        <is>
          <t>drive it away as far as possible.</t>
        </is>
      </c>
      <c r="D1930">
        <f>HYPERLINK("https://www.youtube.com/watch?v=Q8WvCIpZv7s&amp;t=183s", "Go to time")</f>
        <v/>
      </c>
    </row>
    <row r="1931">
      <c r="A1931">
        <f>HYPERLINK("https://www.youtube.com/watch?v=DARNF7NGGOs", "Video")</f>
        <v/>
      </c>
      <c r="B1931" t="inlineStr">
        <is>
          <t>11:13</t>
        </is>
      </c>
      <c r="C1931" t="inlineStr">
        <is>
          <t>Me? I decided to take a little drive.</t>
        </is>
      </c>
      <c r="D1931">
        <f>HYPERLINK("https://www.youtube.com/watch?v=DARNF7NGGOs&amp;t=673s", "Go to time")</f>
        <v/>
      </c>
    </row>
    <row r="1932">
      <c r="A1932">
        <f>HYPERLINK("https://www.youtube.com/watch?v=OG2_U5I8lcU", "Video")</f>
        <v/>
      </c>
      <c r="B1932" t="inlineStr">
        <is>
          <t>0:33</t>
        </is>
      </c>
      <c r="C1932" t="inlineStr">
        <is>
          <t>me i decided to take a little drive give</t>
        </is>
      </c>
      <c r="D1932">
        <f>HYPERLINK("https://www.youtube.com/watch?v=OG2_U5I8lcU&amp;t=33s", "Go to time")</f>
        <v/>
      </c>
    </row>
    <row r="1933">
      <c r="A1933">
        <f>HYPERLINK("https://www.youtube.com/watch?v=fZsApgHQmEc", "Video")</f>
        <v/>
      </c>
      <c r="B1933" t="inlineStr">
        <is>
          <t>0:28</t>
        </is>
      </c>
      <c r="C1933" t="inlineStr">
        <is>
          <t>team has been my uber driver boy i'm</t>
        </is>
      </c>
      <c r="D1933">
        <f>HYPERLINK("https://www.youtube.com/watch?v=fZsApgHQmEc&amp;t=28s", "Go to time")</f>
        <v/>
      </c>
    </row>
    <row r="1934">
      <c r="A1934">
        <f>HYPERLINK("https://www.youtube.com/watch?v=HjCs_4MZqgk", "Video")</f>
        <v/>
      </c>
      <c r="B1934" t="inlineStr">
        <is>
          <t>0:01</t>
        </is>
      </c>
      <c r="C1934" t="inlineStr">
        <is>
          <t>by the way i'm a professional driver so</t>
        </is>
      </c>
      <c r="D1934">
        <f>HYPERLINK("https://www.youtube.com/watch?v=HjCs_4MZqgk&amp;t=1s", "Go to time")</f>
        <v/>
      </c>
    </row>
    <row r="1935">
      <c r="A1935">
        <f>HYPERLINK("https://www.youtube.com/watch?v=HjCs_4MZqgk", "Video")</f>
        <v/>
      </c>
      <c r="B1935" t="inlineStr">
        <is>
          <t>1:26</t>
        </is>
      </c>
      <c r="C1935" t="inlineStr">
        <is>
          <t>what you're a driver right</t>
        </is>
      </c>
      <c r="D1935">
        <f>HYPERLINK("https://www.youtube.com/watch?v=HjCs_4MZqgk&amp;t=86s", "Go to time")</f>
        <v/>
      </c>
    </row>
    <row r="1936">
      <c r="A1936">
        <f>HYPERLINK("https://www.youtube.com/watch?v=HjCs_4MZqgk", "Video")</f>
        <v/>
      </c>
      <c r="B1936" t="inlineStr">
        <is>
          <t>12:01</t>
        </is>
      </c>
      <c r="C1936" t="inlineStr">
        <is>
          <t>of a guy sucking ice drive women wild</t>
        </is>
      </c>
      <c r="D1936">
        <f>HYPERLINK("https://www.youtube.com/watch?v=HjCs_4MZqgk&amp;t=721s", "Go to time")</f>
        <v/>
      </c>
    </row>
    <row r="1937">
      <c r="A1937">
        <f>HYPERLINK("https://www.youtube.com/watch?v=mA4G3_zL3M8", "Video")</f>
        <v/>
      </c>
      <c r="B1937" t="inlineStr">
        <is>
          <t>20:00</t>
        </is>
      </c>
      <c r="C1937" t="inlineStr">
        <is>
          <t>have one more question do you drive a</t>
        </is>
      </c>
      <c r="D1937">
        <f>HYPERLINK("https://www.youtube.com/watch?v=mA4G3_zL3M8&amp;t=1200s", "Go to time")</f>
        <v/>
      </c>
    </row>
    <row r="1938">
      <c r="A1938">
        <f>HYPERLINK("https://www.youtube.com/watch?v=mA4G3_zL3M8", "Video")</f>
        <v/>
      </c>
      <c r="B1938" t="inlineStr">
        <is>
          <t>20:02</t>
        </is>
      </c>
      <c r="C1938" t="inlineStr">
        <is>
          <t>black Ford the only thing I drive us at</t>
        </is>
      </c>
      <c r="D1938">
        <f>HYPERLINK("https://www.youtube.com/watch?v=mA4G3_zL3M8&amp;t=1202s", "Go to time")</f>
        <v/>
      </c>
    </row>
    <row r="1939">
      <c r="A1939">
        <f>HYPERLINK("https://www.youtube.com/watch?v=lkGe8gXfCbE", "Video")</f>
        <v/>
      </c>
      <c r="B1939" t="inlineStr">
        <is>
          <t>4:07</t>
        </is>
      </c>
      <c r="C1939" t="inlineStr">
        <is>
          <t>You wanna drive Mr. Foster back to his</t>
        </is>
      </c>
      <c r="D1939">
        <f>HYPERLINK("https://www.youtube.com/watch?v=lkGe8gXfCbE&amp;t=247s", "Go to time")</f>
        <v/>
      </c>
    </row>
    <row r="1940">
      <c r="A1940">
        <f>HYPERLINK("https://www.youtube.com/watch?v=7KYQR7b8M0g", "Video")</f>
        <v/>
      </c>
      <c r="B1940" t="inlineStr">
        <is>
          <t>0:20</t>
        </is>
      </c>
      <c r="C1940" t="inlineStr">
        <is>
          <t>waiting to be driven too we could go to</t>
        </is>
      </c>
      <c r="D1940">
        <f>HYPERLINK("https://www.youtube.com/watch?v=7KYQR7b8M0g&amp;t=20s", "Go to time")</f>
        <v/>
      </c>
    </row>
    <row r="1941">
      <c r="A1941">
        <f>HYPERLINK("https://www.youtube.com/watch?v=W_NznKr3h_Q", "Video")</f>
        <v/>
      </c>
      <c r="B1941" t="inlineStr">
        <is>
          <t>5:17</t>
        </is>
      </c>
      <c r="C1941" t="inlineStr">
        <is>
          <t>see what would drive you to do this</t>
        </is>
      </c>
      <c r="D1941">
        <f>HYPERLINK("https://www.youtube.com/watch?v=W_NznKr3h_Q&amp;t=317s", "Go to time")</f>
        <v/>
      </c>
    </row>
    <row r="1942">
      <c r="A1942">
        <f>HYPERLINK("https://www.youtube.com/watch?v=pO50Dyg_GJE", "Video")</f>
        <v/>
      </c>
      <c r="B1942" t="inlineStr">
        <is>
          <t>7:25</t>
        </is>
      </c>
      <c r="C1942" t="inlineStr">
        <is>
          <t>put the leprosy in overdrive but the</t>
        </is>
      </c>
      <c r="D1942">
        <f>HYPERLINK("https://www.youtube.com/watch?v=pO50Dyg_GJE&amp;t=445s", "Go to time")</f>
        <v/>
      </c>
    </row>
    <row r="1943">
      <c r="A1943">
        <f>HYPERLINK("https://www.youtube.com/watch?v=b-D2I5tE898", "Video")</f>
        <v/>
      </c>
      <c r="B1943" t="inlineStr">
        <is>
          <t>1:18</t>
        </is>
      </c>
      <c r="C1943" t="inlineStr">
        <is>
          <t>I understand you have this drive but</t>
        </is>
      </c>
      <c r="D1943">
        <f>HYPERLINK("https://www.youtube.com/watch?v=b-D2I5tE898&amp;t=78s", "Go to time")</f>
        <v/>
      </c>
    </row>
    <row r="1944">
      <c r="A1944">
        <f>HYPERLINK("https://www.youtube.com/watch?v=WTDQHt0G-hc", "Video")</f>
        <v/>
      </c>
      <c r="B1944" t="inlineStr">
        <is>
          <t>0:27</t>
        </is>
      </c>
      <c r="C1944" t="inlineStr">
        <is>
          <t>He's a school bus driver, and he also makes</t>
        </is>
      </c>
      <c r="D1944">
        <f>HYPERLINK("https://www.youtube.com/watch?v=WTDQHt0G-hc&amp;t=27s", "Go to time")</f>
        <v/>
      </c>
    </row>
    <row r="1945">
      <c r="A1945">
        <f>HYPERLINK("https://www.youtube.com/watch?v=eFIQrl5iipw", "Video")</f>
        <v/>
      </c>
      <c r="B1945" t="inlineStr">
        <is>
          <t>0:59</t>
        </is>
      </c>
      <c r="C1945" t="inlineStr">
        <is>
          <t>tearing down the driveway yes and she</t>
        </is>
      </c>
      <c r="D1945">
        <f>HYPERLINK("https://www.youtube.com/watch?v=eFIQrl5iipw&amp;t=59s", "Go to time")</f>
        <v/>
      </c>
    </row>
    <row r="1946">
      <c r="A1946">
        <f>HYPERLINK("https://www.youtube.com/watch?v=6ccwvhmiezQ", "Video")</f>
        <v/>
      </c>
      <c r="B1946" t="inlineStr">
        <is>
          <t>0:13</t>
        </is>
      </c>
      <c r="C1946" t="inlineStr">
        <is>
          <t>case jealousy can drive us to do some</t>
        </is>
      </c>
      <c r="D1946">
        <f>HYPERLINK("https://www.youtube.com/watch?v=6ccwvhmiezQ&amp;t=13s", "Go to time")</f>
        <v/>
      </c>
    </row>
    <row r="1947">
      <c r="A1947">
        <f>HYPERLINK("https://www.youtube.com/watch?v=zQA8-dUL0-k", "Video")</f>
        <v/>
      </c>
      <c r="B1947" t="inlineStr">
        <is>
          <t>38:30</t>
        </is>
      </c>
      <c r="C1947" t="inlineStr">
        <is>
          <t>um drives me</t>
        </is>
      </c>
      <c r="D1947">
        <f>HYPERLINK("https://www.youtube.com/watch?v=zQA8-dUL0-k&amp;t=2310s", "Go to time")</f>
        <v/>
      </c>
    </row>
    <row r="1948">
      <c r="A1948">
        <f>HYPERLINK("https://www.youtube.com/watch?v=CMqQIhoYihk", "Video")</f>
        <v/>
      </c>
      <c r="B1948" t="inlineStr">
        <is>
          <t>40:24</t>
        </is>
      </c>
      <c r="C1948" t="inlineStr">
        <is>
          <t>I'm just gonna go for a drive and remove</t>
        </is>
      </c>
      <c r="D1948">
        <f>HYPERLINK("https://www.youtube.com/watch?v=CMqQIhoYihk&amp;t=2424s", "Go to time")</f>
        <v/>
      </c>
    </row>
    <row r="1949">
      <c r="A1949">
        <f>HYPERLINK("https://www.youtube.com/watch?v=H9F_cUUORVE", "Video")</f>
        <v/>
      </c>
      <c r="B1949" t="inlineStr">
        <is>
          <t>4:26</t>
        </is>
      </c>
      <c r="C1949" t="inlineStr">
        <is>
          <t>call stop by the office
unannounced drive by</t>
        </is>
      </c>
      <c r="D1949">
        <f>HYPERLINK("https://www.youtube.com/watch?v=H9F_cUUORVE&amp;t=266s", "Go to time")</f>
        <v/>
      </c>
    </row>
    <row r="1950">
      <c r="A1950">
        <f>HYPERLINK("https://www.youtube.com/watch?v=ic8cgJoGksQ", "Video")</f>
        <v/>
      </c>
      <c r="B1950" t="inlineStr">
        <is>
          <t>2:29</t>
        </is>
      </c>
      <c r="C1950" t="inlineStr">
        <is>
          <t>is driven by desire for their happiness</t>
        </is>
      </c>
      <c r="D1950">
        <f>HYPERLINK("https://www.youtube.com/watch?v=ic8cgJoGksQ&amp;t=149s", "Go to time")</f>
        <v/>
      </c>
    </row>
    <row r="1951">
      <c r="A1951">
        <f>HYPERLINK("https://www.youtube.com/watch?v=qhNt4LxMrpg", "Video")</f>
        <v/>
      </c>
      <c r="B1951" t="inlineStr">
        <is>
          <t>8:12</t>
        </is>
      </c>
      <c r="C1951" t="inlineStr">
        <is>
          <t>Fear of punishment can drive
a person to live in fear.</t>
        </is>
      </c>
      <c r="D1951">
        <f>HYPERLINK("https://www.youtube.com/watch?v=qhNt4LxMrpg&amp;t=492s", "Go to time")</f>
        <v/>
      </c>
    </row>
    <row r="1952">
      <c r="A1952">
        <f>HYPERLINK("https://www.youtube.com/watch?v=tJOu2l-_940", "Video")</f>
        <v/>
      </c>
      <c r="B1952" t="inlineStr">
        <is>
          <t>5:05</t>
        </is>
      </c>
      <c r="C1952" t="inlineStr">
        <is>
          <t>that this behavior is driven by</t>
        </is>
      </c>
      <c r="D1952">
        <f>HYPERLINK("https://www.youtube.com/watch?v=tJOu2l-_940&amp;t=305s", "Go to time")</f>
        <v/>
      </c>
    </row>
    <row r="1953">
      <c r="A1953">
        <f>HYPERLINK("https://www.youtube.com/watch?v=AdIaRGT50LI", "Video")</f>
        <v/>
      </c>
      <c r="B1953" t="inlineStr">
        <is>
          <t>6:07</t>
        </is>
      </c>
      <c r="C1953" t="inlineStr">
        <is>
          <t>significantly higher on the drive for</t>
        </is>
      </c>
      <c r="D1953">
        <f>HYPERLINK("https://www.youtube.com/watch?v=AdIaRGT50LI&amp;t=367s", "Go to time")</f>
        <v/>
      </c>
    </row>
    <row r="1954">
      <c r="A1954">
        <f>HYPERLINK("https://www.youtube.com/watch?v=AdIaRGT50LI", "Video")</f>
        <v/>
      </c>
      <c r="B1954" t="inlineStr">
        <is>
          <t>6:09</t>
        </is>
      </c>
      <c r="C1954" t="inlineStr">
        <is>
          <t>thinness bulimia the drive for</t>
        </is>
      </c>
      <c r="D1954">
        <f>HYPERLINK("https://www.youtube.com/watch?v=AdIaRGT50LI&amp;t=369s", "Go to time")</f>
        <v/>
      </c>
    </row>
    <row r="1955">
      <c r="A1955">
        <f>HYPERLINK("https://www.youtube.com/watch?v=AJOdKToxJMg", "Video")</f>
        <v/>
      </c>
      <c r="B1955" t="inlineStr">
        <is>
          <t>2:06</t>
        </is>
      </c>
      <c r="C1955" t="inlineStr">
        <is>
          <t>drive them away as clinical psychologist</t>
        </is>
      </c>
      <c r="D1955">
        <f>HYPERLINK("https://www.youtube.com/watch?v=AJOdKToxJMg&amp;t=126s", "Go to time")</f>
        <v/>
      </c>
    </row>
    <row r="1956">
      <c r="A1956">
        <f>HYPERLINK("https://www.youtube.com/watch?v=a98dqEEemnU", "Video")</f>
        <v/>
      </c>
      <c r="B1956" t="inlineStr">
        <is>
          <t>3:10</t>
        </is>
      </c>
      <c r="C1956" t="inlineStr">
        <is>
          <t>love is actually a drive to fulfill a</t>
        </is>
      </c>
      <c r="D1956">
        <f>HYPERLINK("https://www.youtube.com/watch?v=a98dqEEemnU&amp;t=190s", "Go to time")</f>
        <v/>
      </c>
    </row>
    <row r="1957">
      <c r="A1957">
        <f>HYPERLINK("https://www.youtube.com/watch?v=l_eQsQcc-l8", "Video")</f>
        <v/>
      </c>
      <c r="B1957" t="inlineStr">
        <is>
          <t>2:47</t>
        </is>
      </c>
      <c r="C1957" t="inlineStr">
        <is>
          <t>driven by their genuine care and</t>
        </is>
      </c>
      <c r="D1957">
        <f>HYPERLINK("https://www.youtube.com/watch?v=l_eQsQcc-l8&amp;t=167s", "Go to time")</f>
        <v/>
      </c>
    </row>
    <row r="1958">
      <c r="A1958">
        <f>HYPERLINK("https://www.youtube.com/watch?v=X4QrnmT6iyo", "Video")</f>
        <v/>
      </c>
      <c r="B1958" t="inlineStr">
        <is>
          <t>8:10</t>
        </is>
      </c>
      <c r="C1958" t="inlineStr">
        <is>
          <t>their body this disgust drives the</t>
        </is>
      </c>
      <c r="D1958">
        <f>HYPERLINK("https://www.youtube.com/watch?v=X4QrnmT6iyo&amp;t=490s", "Go to time")</f>
        <v/>
      </c>
    </row>
    <row r="1959">
      <c r="A1959">
        <f>HYPERLINK("https://www.youtube.com/watch?v=V7ripgaAVZ8", "Video")</f>
        <v/>
      </c>
      <c r="B1959" t="inlineStr">
        <is>
          <t>4:47</t>
        </is>
      </c>
      <c r="C1959" t="inlineStr">
        <is>
          <t>your own or how to drive by yourself for</t>
        </is>
      </c>
      <c r="D1959">
        <f>HYPERLINK("https://www.youtube.com/watch?v=V7ripgaAVZ8&amp;t=287s", "Go to time")</f>
        <v/>
      </c>
    </row>
    <row r="1960">
      <c r="A1960">
        <f>HYPERLINK("https://www.youtube.com/watch?v=KptE6doAJrA", "Video")</f>
        <v/>
      </c>
      <c r="B1960" t="inlineStr">
        <is>
          <t>0:12</t>
        </is>
      </c>
      <c r="C1960" t="inlineStr">
        <is>
          <t>protection can go into overdrive it's</t>
        </is>
      </c>
      <c r="D1960">
        <f>HYPERLINK("https://www.youtube.com/watch?v=KptE6doAJrA&amp;t=12s", "Go to time")</f>
        <v/>
      </c>
    </row>
    <row r="1961">
      <c r="A1961">
        <f>HYPERLINK("https://www.youtube.com/watch?v=QgVGuE2G3R0", "Video")</f>
        <v/>
      </c>
      <c r="B1961" t="inlineStr">
        <is>
          <t>2:24</t>
        </is>
      </c>
      <c r="C1961" t="inlineStr">
        <is>
          <t>over it just is drives you up the wall</t>
        </is>
      </c>
      <c r="D1961">
        <f>HYPERLINK("https://www.youtube.com/watch?v=QgVGuE2G3R0&amp;t=144s", "Go to time")</f>
        <v/>
      </c>
    </row>
    <row r="1962">
      <c r="A1962">
        <f>HYPERLINK("https://www.youtube.com/watch?v=NiET5ULxAWY", "Video")</f>
        <v/>
      </c>
      <c r="B1962" t="inlineStr">
        <is>
          <t>6:24</t>
        </is>
      </c>
      <c r="C1962" t="inlineStr">
        <is>
          <t>BPD are hard-working and driven to</t>
        </is>
      </c>
      <c r="D1962">
        <f>HYPERLINK("https://www.youtube.com/watch?v=NiET5ULxAWY&amp;t=384s", "Go to time")</f>
        <v/>
      </c>
    </row>
    <row r="1963">
      <c r="A1963">
        <f>HYPERLINK("https://www.youtube.com/watch?v=3j9Y29PzjHo", "Video")</f>
        <v/>
      </c>
      <c r="B1963" t="inlineStr">
        <is>
          <t>4:34</t>
        </is>
      </c>
      <c r="C1963" t="inlineStr">
        <is>
          <t>with a pet or taking a late night Drive</t>
        </is>
      </c>
      <c r="D1963">
        <f>HYPERLINK("https://www.youtube.com/watch?v=3j9Y29PzjHo&amp;t=274s", "Go to time")</f>
        <v/>
      </c>
    </row>
    <row r="1964">
      <c r="A1964">
        <f>HYPERLINK("https://www.youtube.com/watch?v=QHq_MEfl3IM", "Video")</f>
        <v/>
      </c>
      <c r="B1964" t="inlineStr">
        <is>
          <t>7:05</t>
        </is>
      </c>
      <c r="C1964" t="inlineStr">
        <is>
          <t>honesty highly which drives them to heed</t>
        </is>
      </c>
      <c r="D1964">
        <f>HYPERLINK("https://www.youtube.com/watch?v=QHq_MEfl3IM&amp;t=425s", "Go to time")</f>
        <v/>
      </c>
    </row>
    <row r="1965">
      <c r="A1965">
        <f>HYPERLINK("https://www.youtube.com/watch?v=QHq_MEfl3IM", "Video")</f>
        <v/>
      </c>
      <c r="B1965" t="inlineStr">
        <is>
          <t>9:24</t>
        </is>
      </c>
      <c r="C1965" t="inlineStr">
        <is>
          <t>empathy drives them to act when they see</t>
        </is>
      </c>
      <c r="D1965">
        <f>HYPERLINK("https://www.youtube.com/watch?v=QHq_MEfl3IM&amp;t=564s", "Go to time")</f>
        <v/>
      </c>
    </row>
    <row r="1966">
      <c r="A1966">
        <f>HYPERLINK("https://www.youtube.com/watch?v=qI_rYAL-abg", "Video")</f>
        <v/>
      </c>
      <c r="B1966" t="inlineStr">
        <is>
          <t>3:05</t>
        </is>
      </c>
      <c r="C1966" t="inlineStr">
        <is>
          <t>through the drive-thru of your favorite</t>
        </is>
      </c>
      <c r="D1966">
        <f>HYPERLINK("https://www.youtube.com/watch?v=qI_rYAL-abg&amp;t=185s", "Go to time")</f>
        <v/>
      </c>
    </row>
    <row r="1967">
      <c r="A1967">
        <f>HYPERLINK("https://www.youtube.com/watch?v=9U5-BrbLU1U", "Video")</f>
        <v/>
      </c>
      <c r="B1967" t="inlineStr">
        <is>
          <t>2:48</t>
        </is>
      </c>
      <c r="C1967" t="inlineStr">
        <is>
          <t>three at this stage anxiety drives us to</t>
        </is>
      </c>
      <c r="D1967">
        <f>HYPERLINK("https://www.youtube.com/watch?v=9U5-BrbLU1U&amp;t=168s", "Go to time")</f>
        <v/>
      </c>
    </row>
    <row r="1968">
      <c r="A1968">
        <f>HYPERLINK("https://www.youtube.com/watch?v=9U5-BrbLU1U", "Video")</f>
        <v/>
      </c>
      <c r="B1968" t="inlineStr">
        <is>
          <t>5:17</t>
        </is>
      </c>
      <c r="C1968" t="inlineStr">
        <is>
          <t>make conscious efforts to drive your</t>
        </is>
      </c>
      <c r="D1968">
        <f>HYPERLINK("https://www.youtube.com/watch?v=9U5-BrbLU1U&amp;t=317s", "Go to time")</f>
        <v/>
      </c>
    </row>
    <row r="1969">
      <c r="A1969">
        <f>HYPERLINK("https://www.youtube.com/watch?v=9U5-BrbLU1U", "Video")</f>
        <v/>
      </c>
      <c r="B1969" t="inlineStr">
        <is>
          <t>5:19</t>
        </is>
      </c>
      <c r="C1969" t="inlineStr">
        <is>
          <t>anxiety and not let it drive us because</t>
        </is>
      </c>
      <c r="D1969">
        <f>HYPERLINK("https://www.youtube.com/watch?v=9U5-BrbLU1U&amp;t=319s", "Go to time")</f>
        <v/>
      </c>
    </row>
    <row r="1970">
      <c r="A1970">
        <f>HYPERLINK("https://www.youtube.com/watch?v=e8DpBISt34Y", "Video")</f>
        <v/>
      </c>
      <c r="B1970" t="inlineStr">
        <is>
          <t>1:42</t>
        </is>
      </c>
      <c r="C1970" t="inlineStr">
        <is>
          <t>of motivation or drive weak sense of</t>
        </is>
      </c>
      <c r="D1970">
        <f>HYPERLINK("https://www.youtube.com/watch?v=e8DpBISt34Y&amp;t=102s", "Go to time")</f>
        <v/>
      </c>
    </row>
    <row r="1971">
      <c r="A1971">
        <f>HYPERLINK("https://www.youtube.com/watch?v=zgWjknfeHrU", "Video")</f>
        <v/>
      </c>
      <c r="B1971" t="inlineStr">
        <is>
          <t>5:05</t>
        </is>
      </c>
      <c r="C1971" t="inlineStr">
        <is>
          <t>into exhaustive overdrive.</t>
        </is>
      </c>
      <c r="D1971">
        <f>HYPERLINK("https://www.youtube.com/watch?v=zgWjknfeHrU&amp;t=305s", "Go to time")</f>
        <v/>
      </c>
    </row>
    <row r="1972">
      <c r="A1972">
        <f>HYPERLINK("https://www.youtube.com/watch?v=3kyhYttMOGQ", "Video")</f>
        <v/>
      </c>
      <c r="B1972" t="inlineStr">
        <is>
          <t>3:04</t>
        </is>
      </c>
      <c r="C1972" t="inlineStr">
        <is>
          <t>to enhance their selfimage
sociopaths are driven by a thirst</t>
        </is>
      </c>
      <c r="D1972">
        <f>HYPERLINK("https://www.youtube.com/watch?v=3kyhYttMOGQ&amp;t=184s", "Go to time")</f>
        <v/>
      </c>
    </row>
    <row r="1973">
      <c r="A1973">
        <f>HYPERLINK("https://www.youtube.com/watch?v=ablvTijqoSE", "Video")</f>
        <v/>
      </c>
      <c r="B1973" t="inlineStr">
        <is>
          <t>2:17</t>
        </is>
      </c>
      <c r="C1973" t="inlineStr">
        <is>
          <t>love can drive us to make poor decisions</t>
        </is>
      </c>
      <c r="D1973">
        <f>HYPERLINK("https://www.youtube.com/watch?v=ablvTijqoSE&amp;t=137s", "Go to time")</f>
        <v/>
      </c>
    </row>
    <row r="1974">
      <c r="A1974">
        <f>HYPERLINK("https://www.youtube.com/watch?v=ablvTijqoSE", "Video")</f>
        <v/>
      </c>
      <c r="B1974" t="inlineStr">
        <is>
          <t>2:49</t>
        </is>
      </c>
      <c r="C1974" t="inlineStr">
        <is>
          <t>across all social media platforms Drive</t>
        </is>
      </c>
      <c r="D1974">
        <f>HYPERLINK("https://www.youtube.com/watch?v=ablvTijqoSE&amp;t=169s", "Go to time")</f>
        <v/>
      </c>
    </row>
    <row r="1975">
      <c r="A1975">
        <f>HYPERLINK("https://www.youtube.com/watch?v=OBnD6vHliqY", "Video")</f>
        <v/>
      </c>
      <c r="B1975" t="inlineStr">
        <is>
          <t>1:21</t>
        </is>
      </c>
      <c r="C1975" t="inlineStr">
        <is>
          <t>itself it's a primal Force driven by our</t>
        </is>
      </c>
      <c r="D1975">
        <f>HYPERLINK("https://www.youtube.com/watch?v=OBnD6vHliqY&amp;t=81s", "Go to time")</f>
        <v/>
      </c>
    </row>
    <row r="1976">
      <c r="A1976">
        <f>HYPERLINK("https://www.youtube.com/watch?v=OBnD6vHliqY", "Video")</f>
        <v/>
      </c>
      <c r="B1976" t="inlineStr">
        <is>
          <t>1:32</t>
        </is>
      </c>
      <c r="C1976" t="inlineStr">
        <is>
          <t>our ancestors who were more driven by</t>
        </is>
      </c>
      <c r="D1976">
        <f>HYPERLINK("https://www.youtube.com/watch?v=OBnD6vHliqY&amp;t=92s", "Go to time")</f>
        <v/>
      </c>
    </row>
    <row r="1977">
      <c r="A1977">
        <f>HYPERLINK("https://www.youtube.com/watch?v=OBnD6vHliqY", "Video")</f>
        <v/>
      </c>
      <c r="B1977" t="inlineStr">
        <is>
          <t>4:10</t>
        </is>
      </c>
      <c r="C1977" t="inlineStr">
        <is>
          <t>driven more by immediate desires than</t>
        </is>
      </c>
      <c r="D1977">
        <f>HYPERLINK("https://www.youtube.com/watch?v=OBnD6vHliqY&amp;t=250s", "Go to time")</f>
        <v/>
      </c>
    </row>
    <row r="1978">
      <c r="A1978">
        <f>HYPERLINK("https://www.youtube.com/watch?v=fA-PWbZ78xU", "Video")</f>
        <v/>
      </c>
      <c r="B1978" t="inlineStr">
        <is>
          <t>3:06</t>
        </is>
      </c>
      <c r="C1978" t="inlineStr">
        <is>
          <t>driven people have you ever wished you</t>
        </is>
      </c>
      <c r="D1978">
        <f>HYPERLINK("https://www.youtube.com/watch?v=fA-PWbZ78xU&amp;t=186s", "Go to time")</f>
        <v/>
      </c>
    </row>
    <row r="1979">
      <c r="A1979">
        <f>HYPERLINK("https://www.youtube.com/watch?v=Am_E8IUJrAo", "Video")</f>
        <v/>
      </c>
      <c r="B1979" t="inlineStr">
        <is>
          <t>1:21</t>
        </is>
      </c>
      <c r="C1979" t="inlineStr">
        <is>
          <t>this natural Drive kept her ancestors</t>
        </is>
      </c>
      <c r="D1979">
        <f>HYPERLINK("https://www.youtube.com/watch?v=Am_E8IUJrAo&amp;t=81s", "Go to time")</f>
        <v/>
      </c>
    </row>
    <row r="1980">
      <c r="A1980">
        <f>HYPERLINK("https://www.youtube.com/watch?v=ID1PfW-G-K4", "Video")</f>
        <v/>
      </c>
      <c r="B1980" t="inlineStr">
        <is>
          <t>1:03</t>
        </is>
      </c>
      <c r="C1980" t="inlineStr">
        <is>
          <t>driven communication tools while</t>
        </is>
      </c>
      <c r="D1980">
        <f>HYPERLINK("https://www.youtube.com/watch?v=ID1PfW-G-K4&amp;t=63s", "Go to time")</f>
        <v/>
      </c>
    </row>
    <row r="1981">
      <c r="A1981">
        <f>HYPERLINK("https://www.youtube.com/watch?v=r96fUhwreFw", "Video")</f>
        <v/>
      </c>
      <c r="B1981" t="inlineStr">
        <is>
          <t>1:11</t>
        </is>
      </c>
      <c r="C1981" t="inlineStr">
        <is>
          <t>don't let this feeling drive your</t>
        </is>
      </c>
      <c r="D1981">
        <f>HYPERLINK("https://www.youtube.com/watch?v=r96fUhwreFw&amp;t=71s", "Go to time")</f>
        <v/>
      </c>
    </row>
    <row r="1982">
      <c r="A1982">
        <f>HYPERLINK("https://www.youtube.com/watch?v=C1iE_JhIlbI", "Video")</f>
        <v/>
      </c>
      <c r="B1982" t="inlineStr">
        <is>
          <t>5:08</t>
        </is>
      </c>
      <c r="C1982" t="inlineStr">
        <is>
          <t>emotions is what can drive selfish</t>
        </is>
      </c>
      <c r="D1982">
        <f>HYPERLINK("https://www.youtube.com/watch?v=C1iE_JhIlbI&amp;t=308s", "Go to time")</f>
        <v/>
      </c>
    </row>
    <row r="1983">
      <c r="A1983">
        <f>HYPERLINK("https://www.youtube.com/watch?v=_qObeWQIiAs", "Video")</f>
        <v/>
      </c>
      <c r="B1983" t="inlineStr">
        <is>
          <t>1:09</t>
        </is>
      </c>
      <c r="C1983" t="inlineStr">
        <is>
          <t>driven by the belief</t>
        </is>
      </c>
      <c r="D1983">
        <f>HYPERLINK("https://www.youtube.com/watch?v=_qObeWQIiAs&amp;t=69s", "Go to time")</f>
        <v/>
      </c>
    </row>
    <row r="1984">
      <c r="A1984">
        <f>HYPERLINK("https://www.youtube.com/watch?v=MAbzTLakYcw", "Video")</f>
        <v/>
      </c>
      <c r="B1984" t="inlineStr">
        <is>
          <t>6:40</t>
        </is>
      </c>
      <c r="C1984" t="inlineStr">
        <is>
          <t>driven by intense fear prevents you from</t>
        </is>
      </c>
      <c r="D1984">
        <f>HYPERLINK("https://www.youtube.com/watch?v=MAbzTLakYcw&amp;t=400s", "Go to time")</f>
        <v/>
      </c>
    </row>
    <row r="1985">
      <c r="A1985">
        <f>HYPERLINK("https://www.youtube.com/watch?v=9uNWk0hsY84", "Video")</f>
        <v/>
      </c>
      <c r="B1985" t="inlineStr">
        <is>
          <t>2:20</t>
        </is>
      </c>
      <c r="C1985" t="inlineStr">
        <is>
          <t>This attraction can be
driven by unconscious desires</t>
        </is>
      </c>
      <c r="D1985">
        <f>HYPERLINK("https://www.youtube.com/watch?v=9uNWk0hsY84&amp;t=140s", "Go to time")</f>
        <v/>
      </c>
    </row>
    <row r="1986">
      <c r="A1986">
        <f>HYPERLINK("https://www.youtube.com/watch?v=XTJMT0Mbmsw", "Video")</f>
        <v/>
      </c>
      <c r="B1986" t="inlineStr">
        <is>
          <t>0:47</t>
        </is>
      </c>
      <c r="C1986" t="inlineStr">
        <is>
          <t>drive and competence Dr Murphy says we</t>
        </is>
      </c>
      <c r="D1986">
        <f>HYPERLINK("https://www.youtube.com/watch?v=XTJMT0Mbmsw&amp;t=47s", "Go to time")</f>
        <v/>
      </c>
    </row>
    <row r="1987">
      <c r="A1987">
        <f>HYPERLINK("https://www.youtube.com/watch?v=4QnhHjeDbX8", "Video")</f>
        <v/>
      </c>
      <c r="B1987" t="inlineStr">
        <is>
          <t>0:29</t>
        </is>
      </c>
      <c r="C1987" t="inlineStr">
        <is>
          <t>linear narrative it is not solely driven</t>
        </is>
      </c>
      <c r="D1987">
        <f>HYPERLINK("https://www.youtube.com/watch?v=4QnhHjeDbX8&amp;t=29s", "Go to time")</f>
        <v/>
      </c>
    </row>
    <row r="1988">
      <c r="A1988">
        <f>HYPERLINK("https://www.youtube.com/watch?v=Q16GMp65LCE", "Video")</f>
        <v/>
      </c>
      <c r="B1988" t="inlineStr">
        <is>
          <t>4:43</t>
        </is>
      </c>
      <c r="C1988" t="inlineStr">
        <is>
          <t>The widening gap this drives between you</t>
        </is>
      </c>
      <c r="D1988">
        <f>HYPERLINK("https://www.youtube.com/watch?v=Q16GMp65LCE&amp;t=283s", "Go to time")</f>
        <v/>
      </c>
    </row>
    <row r="1989">
      <c r="A1989">
        <f>HYPERLINK("https://www.youtube.com/watch?v=ban7PimYyn4", "Video")</f>
        <v/>
      </c>
      <c r="B1989" t="inlineStr">
        <is>
          <t>3:56</t>
        </is>
      </c>
      <c r="C1989" t="inlineStr">
        <is>
          <t>ambition and drive for instance let's</t>
        </is>
      </c>
      <c r="D1989">
        <f>HYPERLINK("https://www.youtube.com/watch?v=ban7PimYyn4&amp;t=236s", "Go to time")</f>
        <v/>
      </c>
    </row>
    <row r="1990">
      <c r="A1990">
        <f>HYPERLINK("https://www.youtube.com/watch?v=BLyI0HVPrB4", "Video")</f>
        <v/>
      </c>
      <c r="B1990" t="inlineStr">
        <is>
          <t>1:15</t>
        </is>
      </c>
      <c r="C1990" t="inlineStr">
        <is>
          <t>people who are driven by it often feel</t>
        </is>
      </c>
      <c r="D1990">
        <f>HYPERLINK("https://www.youtube.com/watch?v=BLyI0HVPrB4&amp;t=75s", "Go to time")</f>
        <v/>
      </c>
    </row>
    <row r="1991">
      <c r="A1991">
        <f>HYPERLINK("https://www.youtube.com/watch?v=BLyI0HVPrB4", "Video")</f>
        <v/>
      </c>
      <c r="B1991" t="inlineStr">
        <is>
          <t>1:19</t>
        </is>
      </c>
      <c r="C1991" t="inlineStr">
        <is>
          <t>their worth which drives them to</t>
        </is>
      </c>
      <c r="D1991">
        <f>HYPERLINK("https://www.youtube.com/watch?v=BLyI0HVPrB4&amp;t=79s", "Go to time")</f>
        <v/>
      </c>
    </row>
    <row r="1992">
      <c r="A1992">
        <f>HYPERLINK("https://www.youtube.com/watch?v=BLyI0HVPrB4", "Video")</f>
        <v/>
      </c>
      <c r="B1992" t="inlineStr">
        <is>
          <t>1:35</t>
        </is>
      </c>
      <c r="C1992" t="inlineStr">
        <is>
          <t>drive them away rather than pull you too</t>
        </is>
      </c>
      <c r="D1992">
        <f>HYPERLINK("https://www.youtube.com/watch?v=BLyI0HVPrB4&amp;t=95s", "Go to time")</f>
        <v/>
      </c>
    </row>
    <row r="1993">
      <c r="A1993">
        <f>HYPERLINK("https://www.youtube.com/watch?v=Q7C0FoDVbRM", "Video")</f>
        <v/>
      </c>
      <c r="B1993" t="inlineStr">
        <is>
          <t>5:27</t>
        </is>
      </c>
      <c r="C1993" t="inlineStr">
        <is>
          <t>emotions all can drive people away from</t>
        </is>
      </c>
      <c r="D1993">
        <f>HYPERLINK("https://www.youtube.com/watch?v=Q7C0FoDVbRM&amp;t=327s", "Go to time")</f>
        <v/>
      </c>
    </row>
    <row r="1994">
      <c r="A1994">
        <f>HYPERLINK("https://www.youtube.com/watch?v=vC_eN771isk", "Video")</f>
        <v/>
      </c>
      <c r="B1994" t="inlineStr">
        <is>
          <t>0:47</t>
        </is>
      </c>
      <c r="C1994" t="inlineStr">
        <is>
          <t>they drive the clothes they wear or the</t>
        </is>
      </c>
      <c r="D1994">
        <f>HYPERLINK("https://www.youtube.com/watch?v=vC_eN771isk&amp;t=47s", "Go to time")</f>
        <v/>
      </c>
    </row>
    <row r="1995">
      <c r="A1995">
        <f>HYPERLINK("https://www.youtube.com/watch?v=0XVJIFZjoAo", "Video")</f>
        <v/>
      </c>
      <c r="B1995" t="inlineStr">
        <is>
          <t>1:17</t>
        </is>
      </c>
      <c r="C1995" t="inlineStr">
        <is>
          <t>responsible for fight or flight drives</t>
        </is>
      </c>
      <c r="D1995">
        <f>HYPERLINK("https://www.youtube.com/watch?v=0XVJIFZjoAo&amp;t=77s", "Go to time")</f>
        <v/>
      </c>
    </row>
    <row r="1996">
      <c r="A1996">
        <f>HYPERLINK("https://www.youtube.com/watch?v=0XVJIFZjoAo", "Video")</f>
        <v/>
      </c>
      <c r="B1996" t="inlineStr">
        <is>
          <t>2:18</t>
        </is>
      </c>
      <c r="C1996" t="inlineStr">
        <is>
          <t>drives sexual activity and pleasure it's</t>
        </is>
      </c>
      <c r="D1996">
        <f>HYPERLINK("https://www.youtube.com/watch?v=0XVJIFZjoAo&amp;t=138s", "Go to time")</f>
        <v/>
      </c>
    </row>
    <row r="1997">
      <c r="A1997">
        <f>HYPERLINK("https://www.youtube.com/watch?v=0OUeBAwyx2Q", "Video")</f>
        <v/>
      </c>
      <c r="B1997" t="inlineStr">
        <is>
          <t>1:57</t>
        </is>
      </c>
      <c r="C1997" t="inlineStr">
        <is>
          <t>driven to constantly improve themselves</t>
        </is>
      </c>
      <c r="D1997">
        <f>HYPERLINK("https://www.youtube.com/watch?v=0OUeBAwyx2Q&amp;t=117s", "Go to time")</f>
        <v/>
      </c>
    </row>
    <row r="1998">
      <c r="A1998">
        <f>HYPERLINK("https://www.youtube.com/watch?v=k1RRjVKV1tM", "Video")</f>
        <v/>
      </c>
      <c r="B1998" t="inlineStr">
        <is>
          <t>4:28</t>
        </is>
      </c>
      <c r="C1998" t="inlineStr">
        <is>
          <t>their analytical Talent is what drives</t>
        </is>
      </c>
      <c r="D1998">
        <f>HYPERLINK("https://www.youtube.com/watch?v=k1RRjVKV1tM&amp;t=268s", "Go to time")</f>
        <v/>
      </c>
    </row>
    <row r="1999">
      <c r="A1999">
        <f>HYPERLINK("https://www.youtube.com/watch?v=RuFj2_tBnO0", "Video")</f>
        <v/>
      </c>
      <c r="B1999" t="inlineStr">
        <is>
          <t>0:49</t>
        </is>
      </c>
      <c r="C1999" t="inlineStr">
        <is>
          <t>driven by sexual</t>
        </is>
      </c>
      <c r="D1999">
        <f>HYPERLINK("https://www.youtube.com/watch?v=RuFj2_tBnO0&amp;t=49s", "Go to time")</f>
        <v/>
      </c>
    </row>
    <row r="2000">
      <c r="A2000">
        <f>HYPERLINK("https://www.youtube.com/watch?v=nSVR5AoWUcU", "Video")</f>
        <v/>
      </c>
      <c r="B2000" t="inlineStr">
        <is>
          <t>1:46</t>
        </is>
      </c>
      <c r="C2000" t="inlineStr">
        <is>
          <t>our loneliness can
drive a wedge between us</t>
        </is>
      </c>
      <c r="D2000">
        <f>HYPERLINK("https://www.youtube.com/watch?v=nSVR5AoWUcU&amp;t=106s", "Go to time")</f>
        <v/>
      </c>
    </row>
    <row r="2001">
      <c r="A2001">
        <f>HYPERLINK("https://www.youtube.com/watch?v=n7MuE03dP-E", "Video")</f>
        <v/>
      </c>
      <c r="B2001" t="inlineStr">
        <is>
          <t>2:05</t>
        </is>
      </c>
      <c r="C2001" t="inlineStr">
        <is>
          <t>Go-getter who's driven to succeed,</t>
        </is>
      </c>
      <c r="D2001">
        <f>HYPERLINK("https://www.youtube.com/watch?v=n7MuE03dP-E&amp;t=125s", "Go to time")</f>
        <v/>
      </c>
    </row>
    <row r="2002">
      <c r="A2002">
        <f>HYPERLINK("https://www.youtube.com/watch?v=nSzZfHqNuRs", "Video")</f>
        <v/>
      </c>
      <c r="B2002" t="inlineStr">
        <is>
          <t>2:18</t>
        </is>
      </c>
      <c r="C2002" t="inlineStr">
        <is>
          <t>Drive social status and kindness so we</t>
        </is>
      </c>
      <c r="D2002">
        <f>HYPERLINK("https://www.youtube.com/watch?v=nSzZfHqNuRs&amp;t=138s", "Go to time")</f>
        <v/>
      </c>
    </row>
    <row r="2003">
      <c r="A2003">
        <f>HYPERLINK("https://www.youtube.com/watch?v=gFwvzS0H-8Q", "Video")</f>
        <v/>
      </c>
      <c r="B2003" t="inlineStr">
        <is>
          <t>1:47</t>
        </is>
      </c>
      <c r="C2003" t="inlineStr">
        <is>
          <t>excessive Drive ambition</t>
        </is>
      </c>
      <c r="D2003">
        <f>HYPERLINK("https://www.youtube.com/watch?v=gFwvzS0H-8Q&amp;t=107s", "Go to time")</f>
        <v/>
      </c>
    </row>
    <row r="2004">
      <c r="A2004">
        <f>HYPERLINK("https://www.youtube.com/watch?v=gFwvzS0H-8Q", "Video")</f>
        <v/>
      </c>
      <c r="B2004" t="inlineStr">
        <is>
          <t>2:14</t>
        </is>
      </c>
      <c r="C2004" t="inlineStr">
        <is>
          <t>the first phase is excessive drive and</t>
        </is>
      </c>
      <c r="D2004">
        <f>HYPERLINK("https://www.youtube.com/watch?v=gFwvzS0H-8Q&amp;t=134s", "Go to time")</f>
        <v/>
      </c>
    </row>
    <row r="2005">
      <c r="A2005">
        <f>HYPERLINK("https://www.youtube.com/watch?v=KgOrK7nXi08", "Video")</f>
        <v/>
      </c>
      <c r="B2005" t="inlineStr">
        <is>
          <t>2:57</t>
        </is>
      </c>
      <c r="C2005" t="inlineStr">
        <is>
          <t>that's right it's not driven by the body</t>
        </is>
      </c>
      <c r="D2005">
        <f>HYPERLINK("https://www.youtube.com/watch?v=KgOrK7nXi08&amp;t=177s", "Go to time")</f>
        <v/>
      </c>
    </row>
    <row r="2006">
      <c r="A2006">
        <f>HYPERLINK("https://www.youtube.com/watch?v=0DrFPGQ_f20", "Video")</f>
        <v/>
      </c>
      <c r="B2006" t="inlineStr">
        <is>
          <t>0:39</t>
        </is>
      </c>
      <c r="C2006" t="inlineStr">
        <is>
          <t>drives us to seek external Comforts such</t>
        </is>
      </c>
      <c r="D2006">
        <f>HYPERLINK("https://www.youtube.com/watch?v=0DrFPGQ_f20&amp;t=39s", "Go to time")</f>
        <v/>
      </c>
    </row>
    <row r="2007">
      <c r="A2007">
        <f>HYPERLINK("https://www.youtube.com/watch?v=LNQrW1wHgII", "Video")</f>
        <v/>
      </c>
      <c r="B2007" t="inlineStr">
        <is>
          <t>2:17</t>
        </is>
      </c>
      <c r="C2007" t="inlineStr">
        <is>
          <t>rejected you have a decreased sex drive</t>
        </is>
      </c>
      <c r="D2007">
        <f>HYPERLINK("https://www.youtube.com/watch?v=LNQrW1wHgII&amp;t=137s", "Go to time")</f>
        <v/>
      </c>
    </row>
    <row r="2008">
      <c r="A2008">
        <f>HYPERLINK("https://www.youtube.com/watch?v=9fvV-BnkDKo", "Video")</f>
        <v/>
      </c>
      <c r="B2008" t="inlineStr">
        <is>
          <t>4:13</t>
        </is>
      </c>
      <c r="C2008" t="inlineStr">
        <is>
          <t>Love in all its forms is
one of the major drivers</t>
        </is>
      </c>
      <c r="D2008">
        <f>HYPERLINK("https://www.youtube.com/watch?v=9fvV-BnkDKo&amp;t=253s", "Go to time")</f>
        <v/>
      </c>
    </row>
    <row r="2009">
      <c r="A2009">
        <f>HYPERLINK("https://www.youtube.com/watch?v=1Xps2hiNsqw", "Video")</f>
        <v/>
      </c>
      <c r="B2009" t="inlineStr">
        <is>
          <t>1:45</t>
        </is>
      </c>
      <c r="C2009" t="inlineStr">
        <is>
          <t>three this shows you're driven by</t>
        </is>
      </c>
      <c r="D2009">
        <f>HYPERLINK("https://www.youtube.com/watch?v=1Xps2hiNsqw&amp;t=105s", "Go to time")</f>
        <v/>
      </c>
    </row>
    <row r="2010">
      <c r="A2010">
        <f>HYPERLINK("https://www.youtube.com/watch?v=TRHdyruiPoo", "Video")</f>
        <v/>
      </c>
      <c r="B2010" t="inlineStr">
        <is>
          <t>4:15</t>
        </is>
      </c>
      <c r="C2010" t="inlineStr">
        <is>
          <t>childhood you are driven by an</t>
        </is>
      </c>
      <c r="D2010">
        <f>HYPERLINK("https://www.youtube.com/watch?v=TRHdyruiPoo&amp;t=255s", "Go to time")</f>
        <v/>
      </c>
    </row>
    <row r="2011">
      <c r="A2011">
        <f>HYPERLINK("https://www.youtube.com/watch?v=zO45zD1_ucA", "Video")</f>
        <v/>
      </c>
      <c r="B2011" t="inlineStr">
        <is>
          <t>1:53</t>
        </is>
      </c>
      <c r="C2011" t="inlineStr">
        <is>
          <t>narcissists driven by a need to control</t>
        </is>
      </c>
      <c r="D2011">
        <f>HYPERLINK("https://www.youtube.com/watch?v=zO45zD1_ucA&amp;t=113s", "Go to time")</f>
        <v/>
      </c>
    </row>
    <row r="2012">
      <c r="A2012">
        <f>HYPERLINK("https://www.youtube.com/watch?v=J9y3mNsVA40", "Video")</f>
        <v/>
      </c>
      <c r="B2012" t="inlineStr">
        <is>
          <t>4:18</t>
        </is>
      </c>
      <c r="C2012" t="inlineStr">
        <is>
          <t>They have a drive towards grandiosity</t>
        </is>
      </c>
      <c r="D2012">
        <f>HYPERLINK("https://www.youtube.com/watch?v=J9y3mNsVA40&amp;t=258s", "Go to time")</f>
        <v/>
      </c>
    </row>
    <row r="2013">
      <c r="A2013">
        <f>HYPERLINK("https://www.youtube.com/watch?v=xu8sB5gfbz4", "Video")</f>
        <v/>
      </c>
      <c r="B2013" t="inlineStr">
        <is>
          <t>0:40</t>
        </is>
      </c>
      <c r="C2013" t="inlineStr">
        <is>
          <t>into overdrive this part of the brain is</t>
        </is>
      </c>
      <c r="D2013">
        <f>HYPERLINK("https://www.youtube.com/watch?v=xu8sB5gfbz4&amp;t=40s", "Go to time")</f>
        <v/>
      </c>
    </row>
    <row r="2014">
      <c r="A2014">
        <f>HYPERLINK("https://www.youtube.com/watch?v=fCExPmspLn0", "Video")</f>
        <v/>
      </c>
      <c r="B2014" t="inlineStr">
        <is>
          <t>1:21</t>
        </is>
      </c>
      <c r="C2014" t="inlineStr">
        <is>
          <t>in size these Trends are driven by many</t>
        </is>
      </c>
      <c r="D2014">
        <f>HYPERLINK("https://www.youtube.com/watch?v=fCExPmspLn0&amp;t=81s", "Go to time")</f>
        <v/>
      </c>
    </row>
    <row r="2015">
      <c r="A2015">
        <f>HYPERLINK("https://www.youtube.com/watch?v=QrnqDWLmHSA", "Video")</f>
        <v/>
      </c>
      <c r="B2015" t="inlineStr">
        <is>
          <t>3:55</t>
        </is>
      </c>
      <c r="C2015" t="inlineStr">
        <is>
          <t>and hypomania where you're driven to</t>
        </is>
      </c>
      <c r="D2015">
        <f>HYPERLINK("https://www.youtube.com/watch?v=QrnqDWLmHSA&amp;t=235s", "Go to time")</f>
        <v/>
      </c>
    </row>
    <row r="2016">
      <c r="A2016">
        <f>HYPERLINK("https://www.youtube.com/watch?v=v16u9aQfRL4", "Video")</f>
        <v/>
      </c>
      <c r="B2016" t="inlineStr">
        <is>
          <t>3:08</t>
        </is>
      </c>
      <c r="C2016" t="inlineStr">
        <is>
          <t>if you are too drunk to legally drive</t>
        </is>
      </c>
      <c r="D2016">
        <f>HYPERLINK("https://www.youtube.com/watch?v=v16u9aQfRL4&amp;t=188s", "Go to time")</f>
        <v/>
      </c>
    </row>
    <row r="2017">
      <c r="A2017">
        <f>HYPERLINK("https://www.youtube.com/watch?v=v16u9aQfRL4", "Video")</f>
        <v/>
      </c>
      <c r="B2017" t="inlineStr">
        <is>
          <t>3:55</t>
        </is>
      </c>
      <c r="C2017" t="inlineStr">
        <is>
          <t>as much as being too drunk to drive</t>
        </is>
      </c>
      <c r="D2017">
        <f>HYPERLINK("https://www.youtube.com/watch?v=v16u9aQfRL4&amp;t=235s", "Go to time")</f>
        <v/>
      </c>
    </row>
    <row r="2018">
      <c r="A2018">
        <f>HYPERLINK("https://www.youtube.com/watch?v=9MAONow5CGI", "Video")</f>
        <v/>
      </c>
      <c r="B2018" t="inlineStr">
        <is>
          <t>7:10</t>
        </is>
      </c>
      <c r="C2018" t="inlineStr">
        <is>
          <t>alive what drives you to get up every</t>
        </is>
      </c>
      <c r="D2018">
        <f>HYPERLINK("https://www.youtube.com/watch?v=9MAONow5CGI&amp;t=430s", "Go to time")</f>
        <v/>
      </c>
    </row>
    <row r="2019">
      <c r="A2019">
        <f>HYPERLINK("https://www.youtube.com/watch?v=chfn56MtFOc", "Video")</f>
        <v/>
      </c>
      <c r="B2019" t="inlineStr">
        <is>
          <t>1:25</t>
        </is>
      </c>
      <c r="C2019" t="inlineStr">
        <is>
          <t>drive to overcome challenges and gain</t>
        </is>
      </c>
      <c r="D2019">
        <f>HYPERLINK("https://www.youtube.com/watch?v=chfn56MtFOc&amp;t=85s", "Go to time")</f>
        <v/>
      </c>
    </row>
    <row r="2020">
      <c r="A2020">
        <f>HYPERLINK("https://www.youtube.com/watch?v=L6_SggtDGgY", "Video")</f>
        <v/>
      </c>
      <c r="B2020" t="inlineStr">
        <is>
          <t>2:20</t>
        </is>
      </c>
      <c r="C2020" t="inlineStr">
        <is>
          <t>the driver's seat dalgado makes a note</t>
        </is>
      </c>
      <c r="D2020">
        <f>HYPERLINK("https://www.youtube.com/watch?v=L6_SggtDGgY&amp;t=140s", "Go to time")</f>
        <v/>
      </c>
    </row>
    <row r="2021">
      <c r="A2021">
        <f>HYPERLINK("https://www.youtube.com/watch?v=SHZPoCZsBsA", "Video")</f>
        <v/>
      </c>
      <c r="B2021" t="inlineStr">
        <is>
          <t>3:15</t>
        </is>
      </c>
      <c r="C2021" t="inlineStr">
        <is>
          <t>drive our behavior when emotions occur</t>
        </is>
      </c>
      <c r="D2021">
        <f>HYPERLINK("https://www.youtube.com/watch?v=SHZPoCZsBsA&amp;t=195s", "Go to time")</f>
        <v/>
      </c>
    </row>
    <row r="2022">
      <c r="A2022">
        <f>HYPERLINK("https://www.youtube.com/watch?v=VO09IbFjm6U", "Video")</f>
        <v/>
      </c>
      <c r="B2022" t="inlineStr">
        <is>
          <t>3:40</t>
        </is>
      </c>
      <c r="C2022" t="inlineStr">
        <is>
          <t>our base drive like all living things is</t>
        </is>
      </c>
      <c r="D2022">
        <f>HYPERLINK("https://www.youtube.com/watch?v=VO09IbFjm6U&amp;t=220s", "Go to time")</f>
        <v/>
      </c>
    </row>
    <row r="2023">
      <c r="A2023">
        <f>HYPERLINK("https://www.youtube.com/watch?v=YCCWEXKc_R0", "Video")</f>
        <v/>
      </c>
      <c r="B2023" t="inlineStr">
        <is>
          <t>0:39</t>
        </is>
      </c>
      <c r="C2023" t="inlineStr">
        <is>
          <t>tends to go into overdrive when this</t>
        </is>
      </c>
      <c r="D2023">
        <f>HYPERLINK("https://www.youtube.com/watch?v=YCCWEXKc_R0&amp;t=39s", "Go to time")</f>
        <v/>
      </c>
    </row>
    <row r="2024">
      <c r="A2024">
        <f>HYPERLINK("https://www.youtube.com/watch?v=aDVKtZLxtnY", "Video")</f>
        <v/>
      </c>
      <c r="B2024" t="inlineStr">
        <is>
          <t>5:57</t>
        </is>
      </c>
      <c r="C2024" t="inlineStr">
        <is>
          <t>the driver's seat</t>
        </is>
      </c>
      <c r="D2024">
        <f>HYPERLINK("https://www.youtube.com/watch?v=aDVKtZLxtnY&amp;t=357s", "Go to time")</f>
        <v/>
      </c>
    </row>
    <row r="2025">
      <c r="A2025">
        <f>HYPERLINK("https://www.youtube.com/watch?v=vU3r73yJTSQ", "Video")</f>
        <v/>
      </c>
      <c r="B2025" t="inlineStr">
        <is>
          <t>1:18</t>
        </is>
      </c>
      <c r="C2025" t="inlineStr">
        <is>
          <t>or flight drives up arousal during</t>
        </is>
      </c>
      <c r="D2025">
        <f>HYPERLINK("https://www.youtube.com/watch?v=vU3r73yJTSQ&amp;t=78s", "Go to time")</f>
        <v/>
      </c>
    </row>
    <row r="2026">
      <c r="A2026">
        <f>HYPERLINK("https://www.youtube.com/watch?v=vU3r73yJTSQ", "Video")</f>
        <v/>
      </c>
      <c r="B2026" t="inlineStr">
        <is>
          <t>2:18</t>
        </is>
      </c>
      <c r="C2026" t="inlineStr">
        <is>
          <t>drives sexual activity and pleasure it's</t>
        </is>
      </c>
      <c r="D2026">
        <f>HYPERLINK("https://www.youtube.com/watch?v=vU3r73yJTSQ&amp;t=138s", "Go to time")</f>
        <v/>
      </c>
    </row>
    <row r="2027">
      <c r="A2027">
        <f>HYPERLINK("https://www.youtube.com/watch?v=kI0pPDz9qmA", "Video")</f>
        <v/>
      </c>
      <c r="B2027" t="inlineStr">
        <is>
          <t>1:44</t>
        </is>
      </c>
      <c r="C2027" t="inlineStr">
        <is>
          <t>drives this genuine curiosity and</t>
        </is>
      </c>
      <c r="D2027">
        <f>HYPERLINK("https://www.youtube.com/watch?v=kI0pPDz9qmA&amp;t=104s", "Go to time")</f>
        <v/>
      </c>
    </row>
    <row r="2028">
      <c r="A2028">
        <f>HYPERLINK("https://www.youtube.com/watch?v=tDBBDpZVX6Y", "Video")</f>
        <v/>
      </c>
      <c r="B2028" t="inlineStr">
        <is>
          <t>0:18</t>
        </is>
      </c>
      <c r="C2028" t="inlineStr">
        <is>
          <t>to another person it is
driven by physical attraction</t>
        </is>
      </c>
      <c r="D2028">
        <f>HYPERLINK("https://www.youtube.com/watch?v=tDBBDpZVX6Y&amp;t=18s", "Go to time")</f>
        <v/>
      </c>
    </row>
    <row r="2029">
      <c r="A2029">
        <f>HYPERLINK("https://www.youtube.com/watch?v=tDBBDpZVX6Y", "Video")</f>
        <v/>
      </c>
      <c r="B2029" t="inlineStr">
        <is>
          <t>1:45</t>
        </is>
      </c>
      <c r="C2029" t="inlineStr">
        <is>
          <t>driven by lust can lead
to physical benefits such</t>
        </is>
      </c>
      <c r="D2029">
        <f>HYPERLINK("https://www.youtube.com/watch?v=tDBBDpZVX6Y&amp;t=105s", "Go to time")</f>
        <v/>
      </c>
    </row>
    <row r="2030">
      <c r="A2030">
        <f>HYPERLINK("https://www.youtube.com/watch?v=tDBBDpZVX6Y", "Video")</f>
        <v/>
      </c>
      <c r="B2030" t="inlineStr">
        <is>
          <t>2:47</t>
        </is>
      </c>
      <c r="C2030" t="inlineStr">
        <is>
          <t>or the consequences of
impulsive behavior driven</t>
        </is>
      </c>
      <c r="D2030">
        <f>HYPERLINK("https://www.youtube.com/watch?v=tDBBDpZVX6Y&amp;t=167s", "Go to time")</f>
        <v/>
      </c>
    </row>
    <row r="2031">
      <c r="A2031">
        <f>HYPERLINK("https://www.youtube.com/watch?v=N_FQ3zfIIqA", "Video")</f>
        <v/>
      </c>
      <c r="B2031" t="inlineStr">
        <is>
          <t>6:24</t>
        </is>
      </c>
      <c r="C2031" t="inlineStr">
        <is>
          <t>still drive cook Etc But as time goes on</t>
        </is>
      </c>
      <c r="D2031">
        <f>HYPERLINK("https://www.youtube.com/watch?v=N_FQ3zfIIqA&amp;t=384s", "Go to time")</f>
        <v/>
      </c>
    </row>
    <row r="2032">
      <c r="A2032">
        <f>HYPERLINK("https://www.youtube.com/watch?v=N_FQ3zfIIqA", "Video")</f>
        <v/>
      </c>
      <c r="B2032" t="inlineStr">
        <is>
          <t>11:53</t>
        </is>
      </c>
      <c r="C2032" t="inlineStr">
        <is>
          <t>to manage their finances or drive they</t>
        </is>
      </c>
      <c r="D2032">
        <f>HYPERLINK("https://www.youtube.com/watch?v=N_FQ3zfIIqA&amp;t=713s", "Go to time")</f>
        <v/>
      </c>
    </row>
    <row r="2033">
      <c r="A2033">
        <f>HYPERLINK("https://www.youtube.com/watch?v=gb4cmFJ2_ZA", "Video")</f>
        <v/>
      </c>
      <c r="B2033" t="inlineStr">
        <is>
          <t>1:10</t>
        </is>
      </c>
      <c r="C2033" t="inlineStr">
        <is>
          <t>that drive you sharing your dreams and</t>
        </is>
      </c>
      <c r="D2033">
        <f>HYPERLINK("https://www.youtube.com/watch?v=gb4cmFJ2_ZA&amp;t=70s", "Go to time")</f>
        <v/>
      </c>
    </row>
    <row r="2034">
      <c r="A2034">
        <f>HYPERLINK("https://www.youtube.com/watch?v=xp_o4iCh6yY", "Video")</f>
        <v/>
      </c>
      <c r="B2034" t="inlineStr">
        <is>
          <t>0:23</t>
        </is>
      </c>
      <c r="C2034" t="inlineStr">
        <is>
          <t>humans are driven by two main things</t>
        </is>
      </c>
      <c r="D2034">
        <f>HYPERLINK("https://www.youtube.com/watch?v=xp_o4iCh6yY&amp;t=23s", "Go to time")</f>
        <v/>
      </c>
    </row>
    <row r="2035">
      <c r="A2035">
        <f>HYPERLINK("https://www.youtube.com/watch?v=xp_o4iCh6yY", "Video")</f>
        <v/>
      </c>
      <c r="B2035" t="inlineStr">
        <is>
          <t>0:25</t>
        </is>
      </c>
      <c r="C2035" t="inlineStr">
        <is>
          <t>life drive and Death Drive the Death</t>
        </is>
      </c>
      <c r="D2035">
        <f>HYPERLINK("https://www.youtube.com/watch?v=xp_o4iCh6yY&amp;t=25s", "Go to time")</f>
        <v/>
      </c>
    </row>
    <row r="2036">
      <c r="A2036">
        <f>HYPERLINK("https://www.youtube.com/watch?v=xp_o4iCh6yY", "Video")</f>
        <v/>
      </c>
      <c r="B2036" t="inlineStr">
        <is>
          <t>0:28</t>
        </is>
      </c>
      <c r="C2036" t="inlineStr">
        <is>
          <t>Drive which was later renamed Thanatos</t>
        </is>
      </c>
      <c r="D2036">
        <f>HYPERLINK("https://www.youtube.com/watch?v=xp_o4iCh6yY&amp;t=28s", "Go to time")</f>
        <v/>
      </c>
    </row>
    <row r="2037">
      <c r="A2037">
        <f>HYPERLINK("https://www.youtube.com/watch?v=q39f7kgBBOM", "Video")</f>
        <v/>
      </c>
      <c r="B2037" t="inlineStr">
        <is>
          <t>3:31</t>
        </is>
      </c>
      <c r="C2037" t="inlineStr">
        <is>
          <t>insecurities that drive such actions but</t>
        </is>
      </c>
      <c r="D2037">
        <f>HYPERLINK("https://www.youtube.com/watch?v=q39f7kgBBOM&amp;t=211s", "Go to time")</f>
        <v/>
      </c>
    </row>
    <row r="2038">
      <c r="A2038">
        <f>HYPERLINK("https://www.youtube.com/watch?v=JlAh-d1z3Eo", "Video")</f>
        <v/>
      </c>
      <c r="B2038" t="inlineStr">
        <is>
          <t>1:59</t>
        </is>
      </c>
      <c r="C2038" t="inlineStr">
        <is>
          <t>that you should not let peer
pressure drive your actions</t>
        </is>
      </c>
      <c r="D2038">
        <f>HYPERLINK("https://www.youtube.com/watch?v=JlAh-d1z3Eo&amp;t=119s", "Go to time")</f>
        <v/>
      </c>
    </row>
    <row r="2039">
      <c r="A2039">
        <f>HYPERLINK("https://www.youtube.com/watch?v=xC__WfUs1iU", "Video")</f>
        <v/>
      </c>
      <c r="B2039" t="inlineStr">
        <is>
          <t>2:25</t>
        </is>
      </c>
      <c r="C2039" t="inlineStr">
        <is>
          <t>social media loneliness can often drive</t>
        </is>
      </c>
      <c r="D2039">
        <f>HYPERLINK("https://www.youtube.com/watch?v=xC__WfUs1iU&amp;t=145s", "Go to time")</f>
        <v/>
      </c>
    </row>
    <row r="2040">
      <c r="A2040">
        <f>HYPERLINK("https://www.youtube.com/watch?v=9XZh9YQtFvU", "Video")</f>
        <v/>
      </c>
      <c r="B2040" t="inlineStr">
        <is>
          <t>5:09</t>
        </is>
      </c>
      <c r="C2040" t="inlineStr">
        <is>
          <t>driver researchers found that flamatic</t>
        </is>
      </c>
      <c r="D2040">
        <f>HYPERLINK("https://www.youtube.com/watch?v=9XZh9YQtFvU&amp;t=309s", "Go to time")</f>
        <v/>
      </c>
    </row>
    <row r="2041">
      <c r="A2041">
        <f>HYPERLINK("https://www.youtube.com/watch?v=9XZh9YQtFvU", "Video")</f>
        <v/>
      </c>
      <c r="B2041" t="inlineStr">
        <is>
          <t>5:12</t>
        </is>
      </c>
      <c r="C2041" t="inlineStr">
        <is>
          <t>drivers have a low heart rate and low</t>
        </is>
      </c>
      <c r="D2041">
        <f>HYPERLINK("https://www.youtube.com/watch?v=9XZh9YQtFvU&amp;t=312s", "Go to time")</f>
        <v/>
      </c>
    </row>
    <row r="2042">
      <c r="A2042">
        <f>HYPERLINK("https://www.youtube.com/watch?v=oZ_U-eyrpBI", "Video")</f>
        <v/>
      </c>
      <c r="B2042" t="inlineStr">
        <is>
          <t>2:05</t>
        </is>
      </c>
      <c r="C2042" t="inlineStr">
        <is>
          <t>external force that drives us to this</t>
        </is>
      </c>
      <c r="D2042">
        <f>HYPERLINK("https://www.youtube.com/watch?v=oZ_U-eyrpBI&amp;t=125s", "Go to time")</f>
        <v/>
      </c>
    </row>
    <row r="2043">
      <c r="A2043">
        <f>HYPERLINK("https://www.youtube.com/watch?v=DEGnLn33Zl0", "Video")</f>
        <v/>
      </c>
      <c r="B2043" t="inlineStr">
        <is>
          <t>5:12</t>
        </is>
      </c>
      <c r="C2043" t="inlineStr">
        <is>
          <t>driver's seat and the person begins to</t>
        </is>
      </c>
      <c r="D2043">
        <f>HYPERLINK("https://www.youtube.com/watch?v=DEGnLn33Zl0&amp;t=312s", "Go to time")</f>
        <v/>
      </c>
    </row>
    <row r="2044">
      <c r="A2044">
        <f>HYPERLINK("https://www.youtube.com/watch?v=1U7VpucWznE", "Video")</f>
        <v/>
      </c>
      <c r="B2044" t="inlineStr">
        <is>
          <t>0:24</t>
        </is>
      </c>
      <c r="C2044" t="inlineStr">
        <is>
          <t>they all drive you to pursue one thing</t>
        </is>
      </c>
      <c r="D2044">
        <f>HYPERLINK("https://www.youtube.com/watch?v=1U7VpucWznE&amp;t=24s", "Go to time")</f>
        <v/>
      </c>
    </row>
    <row r="2045">
      <c r="A2045">
        <f>HYPERLINK("https://www.youtube.com/watch?v=uqpOJy8BEy0", "Video")</f>
        <v/>
      </c>
      <c r="B2045" t="inlineStr">
        <is>
          <t>3:20</t>
        </is>
      </c>
      <c r="C2045" t="inlineStr">
        <is>
          <t>tend to be driven determined and</t>
        </is>
      </c>
      <c r="D2045">
        <f>HYPERLINK("https://www.youtube.com/watch?v=uqpOJy8BEy0&amp;t=200s", "Go to time")</f>
        <v/>
      </c>
    </row>
    <row r="2046">
      <c r="A2046">
        <f>HYPERLINK("https://www.youtube.com/watch?v=hZ0Wos8zusU", "Video")</f>
        <v/>
      </c>
      <c r="B2046" t="inlineStr">
        <is>
          <t>1:28</t>
        </is>
      </c>
      <c r="C2046" t="inlineStr">
        <is>
          <t>choices rather than being driven solely</t>
        </is>
      </c>
      <c r="D2046">
        <f>HYPERLINK("https://www.youtube.com/watch?v=hZ0Wos8zusU&amp;t=88s", "Go to time")</f>
        <v/>
      </c>
    </row>
    <row r="2047">
      <c r="A2047">
        <f>HYPERLINK("https://www.youtube.com/watch?v=oYSw73PDih8", "Video")</f>
        <v/>
      </c>
      <c r="B2047" t="inlineStr">
        <is>
          <t>2:11</t>
        </is>
      </c>
      <c r="C2047" t="inlineStr">
        <is>
          <t>and now, all the drive</t>
        </is>
      </c>
      <c r="D2047">
        <f>HYPERLINK("https://www.youtube.com/watch?v=oYSw73PDih8&amp;t=131s", "Go to time")</f>
        <v/>
      </c>
    </row>
    <row r="2048">
      <c r="A2048">
        <f>HYPERLINK("https://www.youtube.com/watch?v=lbJxOIs_1vE", "Video")</f>
        <v/>
      </c>
      <c r="B2048" t="inlineStr">
        <is>
          <t>2:08</t>
        </is>
      </c>
      <c r="C2048" t="inlineStr">
        <is>
          <t>it's not driven by conscious intent or</t>
        </is>
      </c>
      <c r="D2048">
        <f>HYPERLINK("https://www.youtube.com/watch?v=lbJxOIs_1vE&amp;t=128s", "Go to time")</f>
        <v/>
      </c>
    </row>
    <row r="2049">
      <c r="A2049">
        <f>HYPERLINK("https://www.youtube.com/watch?v=vr9YQvnvaKQ", "Video")</f>
        <v/>
      </c>
      <c r="B2049" t="inlineStr">
        <is>
          <t>5:49</t>
        </is>
      </c>
      <c r="C2049" t="inlineStr">
        <is>
          <t>controlling Behavior can drive the other</t>
        </is>
      </c>
      <c r="D2049">
        <f>HYPERLINK("https://www.youtube.com/watch?v=vr9YQvnvaKQ&amp;t=349s", "Go to time")</f>
        <v/>
      </c>
    </row>
    <row r="2050">
      <c r="A2050">
        <f>HYPERLINK("https://www.youtube.com/watch?v=kUuzCkxxdG4", "Video")</f>
        <v/>
      </c>
      <c r="B2050" t="inlineStr">
        <is>
          <t>3:39</t>
        </is>
      </c>
      <c r="C2050" t="inlineStr">
        <is>
          <t>suggests that intellectually driven</t>
        </is>
      </c>
      <c r="D2050">
        <f>HYPERLINK("https://www.youtube.com/watch?v=kUuzCkxxdG4&amp;t=219s", "Go to time")</f>
        <v/>
      </c>
    </row>
    <row r="2051">
      <c r="A2051">
        <f>HYPERLINK("https://www.youtube.com/watch?v=ft620-ZrN-w", "Video")</f>
        <v/>
      </c>
      <c r="B2051" t="inlineStr">
        <is>
          <t>2:49</t>
        </is>
      </c>
      <c r="C2051" t="inlineStr">
        <is>
          <t>like you because they're driven by the</t>
        </is>
      </c>
      <c r="D2051">
        <f>HYPERLINK("https://www.youtube.com/watch?v=ft620-ZrN-w&amp;t=169s", "Go to time")</f>
        <v/>
      </c>
    </row>
    <row r="2052">
      <c r="A2052">
        <f>HYPERLINK("https://www.youtube.com/watch?v=kYCjxLK_gkg", "Video")</f>
        <v/>
      </c>
      <c r="B2052" t="inlineStr">
        <is>
          <t>3:03</t>
        </is>
      </c>
      <c r="C2052" t="inlineStr">
        <is>
          <t>Church bells and Christmas
carols drive them away,</t>
        </is>
      </c>
      <c r="D2052">
        <f>HYPERLINK("https://www.youtube.com/watch?v=kYCjxLK_gkg&amp;t=183s", "Go to time")</f>
        <v/>
      </c>
    </row>
    <row r="2053">
      <c r="A2053">
        <f>HYPERLINK("https://www.youtube.com/watch?v=kYCjxLK_gkg", "Video")</f>
        <v/>
      </c>
      <c r="B2053" t="inlineStr">
        <is>
          <t>4:05</t>
        </is>
      </c>
      <c r="C2053" t="inlineStr">
        <is>
          <t>every home with Holy Water,
which was believed to drive out</t>
        </is>
      </c>
      <c r="D2053">
        <f>HYPERLINK("https://www.youtube.com/watch?v=kYCjxLK_gkg&amp;t=245s", "Go to time")</f>
        <v/>
      </c>
    </row>
    <row r="2054">
      <c r="A2054">
        <f>HYPERLINK("https://www.youtube.com/watch?v=kYCjxLK_gkg", "Video")</f>
        <v/>
      </c>
      <c r="B2054" t="inlineStr">
        <is>
          <t>4:52</t>
        </is>
      </c>
      <c r="C2054" t="inlineStr">
        <is>
          <t>She was driven insane by the
loss of her own children,</t>
        </is>
      </c>
      <c r="D2054">
        <f>HYPERLINK("https://www.youtube.com/watch?v=kYCjxLK_gkg&amp;t=292s", "Go to time")</f>
        <v/>
      </c>
    </row>
    <row r="2055">
      <c r="A2055">
        <f>HYPERLINK("https://www.youtube.com/watch?v=OSswV86uajY", "Video")</f>
        <v/>
      </c>
      <c r="B2055" t="inlineStr">
        <is>
          <t>7:59</t>
        </is>
      </c>
      <c r="C2055" t="inlineStr">
        <is>
          <t>sci-fi driven plot that
continues the Skull Island story.</t>
        </is>
      </c>
      <c r="D2055">
        <f>HYPERLINK("https://www.youtube.com/watch?v=OSswV86uajY&amp;t=479s", "Go to time")</f>
        <v/>
      </c>
    </row>
    <row r="2056">
      <c r="A2056">
        <f>HYPERLINK("https://www.youtube.com/watch?v=5LOQxug_XeA", "Video")</f>
        <v/>
      </c>
      <c r="B2056" t="inlineStr">
        <is>
          <t>7:17</t>
        </is>
      </c>
      <c r="C2056" t="inlineStr">
        <is>
          <t>often driven by some kind
of trauma-induced revenge.</t>
        </is>
      </c>
      <c r="D2056">
        <f>HYPERLINK("https://www.youtube.com/watch?v=5LOQxug_XeA&amp;t=437s", "Go to time")</f>
        <v/>
      </c>
    </row>
    <row r="2057">
      <c r="A2057">
        <f>HYPERLINK("https://www.youtube.com/watch?v=5LOQxug_XeA", "Video")</f>
        <v/>
      </c>
      <c r="B2057" t="inlineStr">
        <is>
          <t>8:48</t>
        </is>
      </c>
      <c r="C2057" t="inlineStr">
        <is>
          <t>The killer is driven by a
desire to kill a certain group</t>
        </is>
      </c>
      <c r="D2057">
        <f>HYPERLINK("https://www.youtube.com/watch?v=5LOQxug_XeA&amp;t=528s", "Go to time")</f>
        <v/>
      </c>
    </row>
    <row r="2058">
      <c r="A2058">
        <f>HYPERLINK("https://www.youtube.com/watch?v=5LOQxug_XeA", "Video")</f>
        <v/>
      </c>
      <c r="B2058" t="inlineStr">
        <is>
          <t>30:21</t>
        </is>
      </c>
      <c r="C2058" t="inlineStr">
        <is>
          <t>that drives innovation.</t>
        </is>
      </c>
      <c r="D2058">
        <f>HYPERLINK("https://www.youtube.com/watch?v=5LOQxug_XeA&amp;t=1821s", "Go to time")</f>
        <v/>
      </c>
    </row>
    <row r="2059">
      <c r="A2059">
        <f>HYPERLINK("https://www.youtube.com/watch?v=JqFNjFakpDc", "Video")</f>
        <v/>
      </c>
      <c r="B2059" t="inlineStr">
        <is>
          <t>1:29</t>
        </is>
      </c>
      <c r="C2059" t="inlineStr">
        <is>
          <t>combination of ambition, laziness, insecurity,
certainty, and drive.”</t>
        </is>
      </c>
      <c r="D2059">
        <f>HYPERLINK("https://www.youtube.com/watch?v=JqFNjFakpDc&amp;t=89s", "Go to time")</f>
        <v/>
      </c>
    </row>
    <row r="2060">
      <c r="A2060">
        <f>HYPERLINK("https://www.youtube.com/watch?v=4IYisDTeycY", "Video")</f>
        <v/>
      </c>
      <c r="B2060" t="inlineStr">
        <is>
          <t>8:49</t>
        </is>
      </c>
      <c r="C2060" t="inlineStr">
        <is>
          <t>Their songs did drive men to watery graves,
but that was only because they were so skilled</t>
        </is>
      </c>
      <c r="D2060">
        <f>HYPERLINK("https://www.youtube.com/watch?v=4IYisDTeycY&amp;t=529s", "Go to time")</f>
        <v/>
      </c>
    </row>
    <row r="2061">
      <c r="A2061">
        <f>HYPERLINK("https://www.youtube.com/watch?v=aff9ZQLClcU", "Video")</f>
        <v/>
      </c>
      <c r="B2061" t="inlineStr">
        <is>
          <t>0:52</t>
        </is>
      </c>
      <c r="C2061" t="inlineStr">
        <is>
          <t>Most contemporary ideas and conceptions of
the werewolf became dominated and driven by</t>
        </is>
      </c>
      <c r="D2061">
        <f>HYPERLINK("https://www.youtube.com/watch?v=aff9ZQLClcU&amp;t=52s", "Go to time")</f>
        <v/>
      </c>
    </row>
    <row r="2062">
      <c r="A2062">
        <f>HYPERLINK("https://www.youtube.com/watch?v=RR1rILLuUzE", "Video")</f>
        <v/>
      </c>
      <c r="B2062" t="inlineStr">
        <is>
          <t>1:27</t>
        </is>
      </c>
      <c r="C2062" t="inlineStr">
        <is>
          <t>children rage and despair drived woman</t>
        </is>
      </c>
      <c r="D2062">
        <f>HYPERLINK("https://www.youtube.com/watch?v=RR1rILLuUzE&amp;t=87s", "Go to time")</f>
        <v/>
      </c>
    </row>
    <row r="2063">
      <c r="A2063">
        <f>HYPERLINK("https://www.youtube.com/watch?v=RR1rILLuUzE", "Video")</f>
        <v/>
      </c>
      <c r="B2063" t="inlineStr">
        <is>
          <t>4:46</t>
        </is>
      </c>
      <c r="C2063" t="inlineStr">
        <is>
          <t>possibly the worst backseat driver I've</t>
        </is>
      </c>
      <c r="D2063">
        <f>HYPERLINK("https://www.youtube.com/watch?v=RR1rILLuUzE&amp;t=286s", "Go to time")</f>
        <v/>
      </c>
    </row>
    <row r="2064">
      <c r="A2064">
        <f>HYPERLINK("https://www.youtube.com/watch?v=ORmnbVsyCSY", "Video")</f>
        <v/>
      </c>
      <c r="B2064" t="inlineStr">
        <is>
          <t>7:09</t>
        </is>
      </c>
      <c r="C2064" t="inlineStr">
        <is>
          <t>Driven from its home,</t>
        </is>
      </c>
      <c r="D2064">
        <f>HYPERLINK("https://www.youtube.com/watch?v=ORmnbVsyCSY&amp;t=429s", "Go to time")</f>
        <v/>
      </c>
    </row>
    <row r="2065">
      <c r="A2065">
        <f>HYPERLINK("https://www.youtube.com/watch?v=irNVHXar4xc", "Video")</f>
        <v/>
      </c>
      <c r="B2065" t="inlineStr">
        <is>
          <t>4:35</t>
        </is>
      </c>
      <c r="C2065" t="inlineStr">
        <is>
          <t>were driven mad
with lust for him.</t>
        </is>
      </c>
      <c r="D2065">
        <f>HYPERLINK("https://www.youtube.com/watch?v=irNVHXar4xc&amp;t=275s", "Go to time")</f>
        <v/>
      </c>
    </row>
    <row r="2066">
      <c r="A2066">
        <f>HYPERLINK("https://www.youtube.com/watch?v=X-epEUnqnP0", "Video")</f>
        <v/>
      </c>
      <c r="B2066" t="inlineStr">
        <is>
          <t>4:42</t>
        </is>
      </c>
      <c r="C2066" t="inlineStr">
        <is>
          <t>These machines, driven by the Martians, have
flexible metal tentacles, heat-ray guns, and</t>
        </is>
      </c>
      <c r="D2066">
        <f>HYPERLINK("https://www.youtube.com/watch?v=X-epEUnqnP0&amp;t=282s", "Go to time")</f>
        <v/>
      </c>
    </row>
    <row r="2067">
      <c r="A2067">
        <f>HYPERLINK("https://www.youtube.com/watch?v=X-epEUnqnP0", "Video")</f>
        <v/>
      </c>
      <c r="B2067" t="inlineStr">
        <is>
          <t>5:13</t>
        </is>
      </c>
      <c r="C2067" t="inlineStr">
        <is>
          <t>Some authors latched on to Mars as an uncharted
frontier ripe for nostalgic romance driven</t>
        </is>
      </c>
      <c r="D2067">
        <f>HYPERLINK("https://www.youtube.com/watch?v=X-epEUnqnP0&amp;t=313s", "Go to time")</f>
        <v/>
      </c>
    </row>
    <row r="2068">
      <c r="A2068">
        <f>HYPERLINK("https://www.youtube.com/watch?v=JBVn4SzvImo", "Video")</f>
        <v/>
      </c>
      <c r="B2068" t="inlineStr">
        <is>
          <t>3:47</t>
        </is>
      </c>
      <c r="C2068" t="inlineStr">
        <is>
          <t>audio and video recordings causing the film’s
creator to be driven insane.</t>
        </is>
      </c>
      <c r="D2068">
        <f>HYPERLINK("https://www.youtube.com/watch?v=JBVn4SzvImo&amp;t=227s", "Go to time")</f>
        <v/>
      </c>
    </row>
    <row r="2069">
      <c r="A2069">
        <f>HYPERLINK("https://www.youtube.com/watch?v=u-n4ws9EzUU", "Video")</f>
        <v/>
      </c>
      <c r="B2069" t="inlineStr">
        <is>
          <t>4:24</t>
        </is>
      </c>
      <c r="C2069" t="inlineStr">
        <is>
          <t>A nail or stake driven into the back of the
neck, subdues the monster, forcing it into</t>
        </is>
      </c>
      <c r="D2069">
        <f>HYPERLINK("https://www.youtube.com/watch?v=u-n4ws9EzUU&amp;t=264s", "Go to time")</f>
        <v/>
      </c>
    </row>
    <row r="2070">
      <c r="A2070">
        <f>HYPERLINK("https://www.youtube.com/watch?v=HaEflz4gVdE", "Video")</f>
        <v/>
      </c>
      <c r="B2070" t="inlineStr">
        <is>
          <t>2:12</t>
        </is>
      </c>
      <c r="C2070" t="inlineStr">
        <is>
          <t>memory which means i have your driver's</t>
        </is>
      </c>
      <c r="D2070">
        <f>HYPERLINK("https://www.youtube.com/watch?v=HaEflz4gVdE&amp;t=132s", "Go to time")</f>
        <v/>
      </c>
    </row>
    <row r="2071">
      <c r="A2071">
        <f>HYPERLINK("https://www.youtube.com/watch?v=hm9Pet2wkj4", "Video")</f>
        <v/>
      </c>
      <c r="B2071" t="inlineStr">
        <is>
          <t>0:55</t>
        </is>
      </c>
      <c r="C2071" t="inlineStr">
        <is>
          <t>I don't always walk sometimes I Drive</t>
        </is>
      </c>
      <c r="D2071">
        <f>HYPERLINK("https://www.youtube.com/watch?v=hm9Pet2wkj4&amp;t=55s", "Go to time")</f>
        <v/>
      </c>
    </row>
    <row r="2072">
      <c r="A2072">
        <f>HYPERLINK("https://www.youtube.com/watch?v=RpH5axdiGT0", "Video")</f>
        <v/>
      </c>
      <c r="B2072" t="inlineStr">
        <is>
          <t>26:50</t>
        </is>
      </c>
      <c r="C2072" t="inlineStr">
        <is>
          <t>fake driver's license and attached it to</t>
        </is>
      </c>
      <c r="D2072">
        <f>HYPERLINK("https://www.youtube.com/watch?v=RpH5axdiGT0&amp;t=1610s", "Go to time")</f>
        <v/>
      </c>
    </row>
    <row r="2073">
      <c r="A2073">
        <f>HYPERLINK("https://www.youtube.com/watch?v=6BMU2nVT6IA", "Video")</f>
        <v/>
      </c>
      <c r="B2073" t="inlineStr">
        <is>
          <t>0:57</t>
        </is>
      </c>
      <c r="C2073" t="inlineStr">
        <is>
          <t>driver and how the hell was I supposed</t>
        </is>
      </c>
      <c r="D2073">
        <f>HYPERLINK("https://www.youtube.com/watch?v=6BMU2nVT6IA&amp;t=57s", "Go to time")</f>
        <v/>
      </c>
    </row>
    <row r="2074">
      <c r="A2074">
        <f>HYPERLINK("https://www.youtube.com/watch?v=bq9yQGL8YsQ", "Video")</f>
        <v/>
      </c>
      <c r="B2074" t="inlineStr">
        <is>
          <t>0:25</t>
        </is>
      </c>
      <c r="C2074" t="inlineStr">
        <is>
          <t>hung me out to drive</t>
        </is>
      </c>
      <c r="D2074">
        <f>HYPERLINK("https://www.youtube.com/watch?v=bq9yQGL8YsQ&amp;t=25s", "Go to time")</f>
        <v/>
      </c>
    </row>
    <row r="2075">
      <c r="A2075">
        <f>HYPERLINK("https://www.youtube.com/watch?v=IsPxSvXPIJQ", "Video")</f>
        <v/>
      </c>
      <c r="B2075" t="inlineStr">
        <is>
          <t>7:39</t>
        </is>
      </c>
      <c r="C2075" t="inlineStr">
        <is>
          <t>drive a wedge because it already exists</t>
        </is>
      </c>
      <c r="D2075">
        <f>HYPERLINK("https://www.youtube.com/watch?v=IsPxSvXPIJQ&amp;t=459s", "Go to time")</f>
        <v/>
      </c>
    </row>
    <row r="2076">
      <c r="A2076">
        <f>HYPERLINK("https://www.youtube.com/watch?v=zKav9LFI_WM", "Video")</f>
        <v/>
      </c>
      <c r="B2076" t="inlineStr">
        <is>
          <t>3:10</t>
        </is>
      </c>
      <c r="C2076" t="inlineStr">
        <is>
          <t>hanging mail to drive you know what</t>
        </is>
      </c>
      <c r="D2076">
        <f>HYPERLINK("https://www.youtube.com/watch?v=zKav9LFI_WM&amp;t=190s", "Go to time")</f>
        <v/>
      </c>
    </row>
    <row r="2077">
      <c r="A2077">
        <f>HYPERLINK("https://www.youtube.com/watch?v=vhtnCZR9Dug", "Video")</f>
        <v/>
      </c>
      <c r="B2077" t="inlineStr">
        <is>
          <t>0:42</t>
        </is>
      </c>
      <c r="C2077" t="inlineStr">
        <is>
          <t>and a very muscular driver named Donald</t>
        </is>
      </c>
      <c r="D2077">
        <f>HYPERLINK("https://www.youtube.com/watch?v=vhtnCZR9Dug&amp;t=42s", "Go to time")</f>
        <v/>
      </c>
    </row>
    <row r="2078">
      <c r="A2078">
        <f>HYPERLINK("https://www.youtube.com/watch?v=vhtnCZR9Dug", "Video")</f>
        <v/>
      </c>
      <c r="B2078" t="inlineStr">
        <is>
          <t>0:50</t>
        </is>
      </c>
      <c r="C2078" t="inlineStr">
        <is>
          <t>muscular driver named Donald</t>
        </is>
      </c>
      <c r="D2078">
        <f>HYPERLINK("https://www.youtube.com/watch?v=vhtnCZR9Dug&amp;t=50s", "Go to time")</f>
        <v/>
      </c>
    </row>
    <row r="2079">
      <c r="A2079">
        <f>HYPERLINK("https://www.youtube.com/watch?v=ucCkVD1VewE", "Video")</f>
        <v/>
      </c>
      <c r="B2079" t="inlineStr">
        <is>
          <t>8:02</t>
        </is>
      </c>
      <c r="C2079" t="inlineStr">
        <is>
          <t>I'm gonna win twice I get to drive a</t>
        </is>
      </c>
      <c r="D2079">
        <f>HYPERLINK("https://www.youtube.com/watch?v=ucCkVD1VewE&amp;t=482s", "Go to time")</f>
        <v/>
      </c>
    </row>
    <row r="2080">
      <c r="A2080">
        <f>HYPERLINK("https://www.youtube.com/watch?v=BWujqP8Ycfs", "Video")</f>
        <v/>
      </c>
      <c r="B2080" t="inlineStr">
        <is>
          <t>2:19</t>
        </is>
      </c>
      <c r="C2080" t="inlineStr">
        <is>
          <t>drive 65 for the sole purpose of</t>
        </is>
      </c>
      <c r="D2080">
        <f>HYPERLINK("https://www.youtube.com/watch?v=BWujqP8Ycfs&amp;t=139s", "Go to time")</f>
        <v/>
      </c>
    </row>
    <row r="2081">
      <c r="A2081">
        <f>HYPERLINK("https://www.youtube.com/watch?v=BWujqP8Ycfs", "Video")</f>
        <v/>
      </c>
      <c r="B2081" t="inlineStr">
        <is>
          <t>2:25</t>
        </is>
      </c>
      <c r="C2081" t="inlineStr">
        <is>
          <t>have malice against other drivers what</t>
        </is>
      </c>
      <c r="D2081">
        <f>HYPERLINK("https://www.youtube.com/watch?v=BWujqP8Ycfs&amp;t=145s", "Go to time")</f>
        <v/>
      </c>
    </row>
    <row r="2082">
      <c r="A2082">
        <f>HYPERLINK("https://www.youtube.com/watch?v=BWujqP8Ycfs", "Video")</f>
        <v/>
      </c>
      <c r="B2082" t="inlineStr">
        <is>
          <t>2:58</t>
        </is>
      </c>
      <c r="C2082" t="inlineStr">
        <is>
          <t>trial you really only drive 65 in the</t>
        </is>
      </c>
      <c r="D2082">
        <f>HYPERLINK("https://www.youtube.com/watch?v=BWujqP8Ycfs&amp;t=178s", "Go to time")</f>
        <v/>
      </c>
    </row>
    <row r="2083">
      <c r="A2083">
        <f>HYPERLINK("https://www.youtube.com/watch?v=mOchphi7bWM", "Video")</f>
        <v/>
      </c>
      <c r="B2083" t="inlineStr">
        <is>
          <t>12:47</t>
        </is>
      </c>
      <c r="C2083" t="inlineStr">
        <is>
          <t>get these guys hammered so you can drive</t>
        </is>
      </c>
      <c r="D2083">
        <f>HYPERLINK("https://www.youtube.com/watch?v=mOchphi7bWM&amp;t=767s", "Go to time")</f>
        <v/>
      </c>
    </row>
    <row r="2084">
      <c r="A2084">
        <f>HYPERLINK("https://www.youtube.com/watch?v=xYzT45LyHSE", "Video")</f>
        <v/>
      </c>
      <c r="B2084" t="inlineStr">
        <is>
          <t>3:42</t>
        </is>
      </c>
      <c r="C2084" t="inlineStr">
        <is>
          <t>guy's doing this to drive down someone's</t>
        </is>
      </c>
      <c r="D2084">
        <f>HYPERLINK("https://www.youtube.com/watch?v=xYzT45LyHSE&amp;t=222s", "Go to time")</f>
        <v/>
      </c>
    </row>
    <row r="2085">
      <c r="A2085">
        <f>HYPERLINK("https://www.youtube.com/watch?v=xYzT45LyHSE", "Video")</f>
        <v/>
      </c>
      <c r="B2085" t="inlineStr">
        <is>
          <t>7:04</t>
        </is>
      </c>
      <c r="C2085" t="inlineStr">
        <is>
          <t>against velocity Data Solutions to drive</t>
        </is>
      </c>
      <c r="D2085">
        <f>HYPERLINK("https://www.youtube.com/watch?v=xYzT45LyHSE&amp;t=424s", "Go to time")</f>
        <v/>
      </c>
    </row>
    <row r="2086">
      <c r="A2086">
        <f>HYPERLINK("https://www.youtube.com/watch?v=wUh9jomHZp4", "Video")</f>
        <v/>
      </c>
      <c r="B2086" t="inlineStr">
        <is>
          <t>1:22</t>
        </is>
      </c>
      <c r="C2086" t="inlineStr">
        <is>
          <t>cab driver hit Ray named me as a witness</t>
        </is>
      </c>
      <c r="D2086">
        <f>HYPERLINK("https://www.youtube.com/watch?v=wUh9jomHZp4&amp;t=82s", "Go to time")</f>
        <v/>
      </c>
    </row>
    <row r="2087">
      <c r="A2087">
        <f>HYPERLINK("https://www.youtube.com/watch?v=0e-KuA0NvXw", "Video")</f>
        <v/>
      </c>
      <c r="B2087" t="inlineStr">
        <is>
          <t>2:17</t>
        </is>
      </c>
      <c r="C2087" t="inlineStr">
        <is>
          <t>this is ridiculous you drive like a</t>
        </is>
      </c>
      <c r="D2087">
        <f>HYPERLINK("https://www.youtube.com/watch?v=0e-KuA0NvXw&amp;t=137s", "Go to time")</f>
        <v/>
      </c>
    </row>
    <row r="2088">
      <c r="A2088">
        <f>HYPERLINK("https://www.youtube.com/watch?v=0e-KuA0NvXw", "Video")</f>
        <v/>
      </c>
      <c r="B2088" t="inlineStr">
        <is>
          <t>2:45</t>
        </is>
      </c>
      <c r="C2088" t="inlineStr">
        <is>
          <t>i don't know how to drive</t>
        </is>
      </c>
      <c r="D2088">
        <f>HYPERLINK("https://www.youtube.com/watch?v=0e-KuA0NvXw&amp;t=165s", "Go to time")</f>
        <v/>
      </c>
    </row>
    <row r="2089">
      <c r="A2089">
        <f>HYPERLINK("https://www.youtube.com/watch?v=0e-KuA0NvXw", "Video")</f>
        <v/>
      </c>
      <c r="B2089" t="inlineStr">
        <is>
          <t>3:38</t>
        </is>
      </c>
      <c r="C2089" t="inlineStr">
        <is>
          <t>you never learned to drive telling you</t>
        </is>
      </c>
      <c r="D2089">
        <f>HYPERLINK("https://www.youtube.com/watch?v=0e-KuA0NvXw&amp;t=218s", "Go to time")</f>
        <v/>
      </c>
    </row>
    <row r="2090">
      <c r="A2090">
        <f>HYPERLINK("https://www.youtube.com/watch?v=0e-KuA0NvXw", "Video")</f>
        <v/>
      </c>
      <c r="B2090" t="inlineStr">
        <is>
          <t>5:55</t>
        </is>
      </c>
      <c r="C2090" t="inlineStr">
        <is>
          <t>i never learned to drive for the same</t>
        </is>
      </c>
      <c r="D2090">
        <f>HYPERLINK("https://www.youtube.com/watch?v=0e-KuA0NvXw&amp;t=355s", "Go to time")</f>
        <v/>
      </c>
    </row>
    <row r="2091">
      <c r="A2091">
        <f>HYPERLINK("https://www.youtube.com/watch?v=mc7URieFtgA", "Video")</f>
        <v/>
      </c>
      <c r="B2091" t="inlineStr">
        <is>
          <t>0:53</t>
        </is>
      </c>
      <c r="C2091" t="inlineStr">
        <is>
          <t>drivers cause more accident objection</t>
        </is>
      </c>
      <c r="D2091">
        <f>HYPERLINK("https://www.youtube.com/watch?v=mc7URieFtgA&amp;t=53s", "Go to time")</f>
        <v/>
      </c>
    </row>
    <row r="2092">
      <c r="A2092">
        <f>HYPERLINK("https://www.youtube.com/watch?v=mc7URieFtgA", "Video")</f>
        <v/>
      </c>
      <c r="B2092" t="inlineStr">
        <is>
          <t>1:30</t>
        </is>
      </c>
      <c r="C2092" t="inlineStr">
        <is>
          <t>psychology of the driver Rahim Benghazi</t>
        </is>
      </c>
      <c r="D2092">
        <f>HYPERLINK("https://www.youtube.com/watch?v=mc7URieFtgA&amp;t=90s", "Go to time")</f>
        <v/>
      </c>
    </row>
    <row r="2093">
      <c r="A2093">
        <f>HYPERLINK("https://www.youtube.com/watch?v=znumXVo2dK0", "Video")</f>
        <v/>
      </c>
      <c r="B2093" t="inlineStr">
        <is>
          <t>5:44</t>
        </is>
      </c>
      <c r="C2093" t="inlineStr">
        <is>
          <t>private files off my hard drive that</t>
        </is>
      </c>
      <c r="D2093">
        <f>HYPERLINK("https://www.youtube.com/watch?v=znumXVo2dK0&amp;t=344s", "Go to time")</f>
        <v/>
      </c>
    </row>
    <row r="2094">
      <c r="A2094">
        <f>HYPERLINK("https://www.youtube.com/watch?v=2durG-6RPF8", "Video")</f>
        <v/>
      </c>
      <c r="B2094" t="inlineStr">
        <is>
          <t>1:10</t>
        </is>
      </c>
      <c r="C2094" t="inlineStr">
        <is>
          <t>it in my clients apartment to drive him</t>
        </is>
      </c>
      <c r="D2094">
        <f>HYPERLINK("https://www.youtube.com/watch?v=2durG-6RPF8&amp;t=70s", "Go to time")</f>
        <v/>
      </c>
    </row>
    <row r="2095">
      <c r="A2095">
        <f>HYPERLINK("https://www.youtube.com/watch?v=LKOwAt2A82w", "Video")</f>
        <v/>
      </c>
      <c r="B2095" t="inlineStr">
        <is>
          <t>6:33</t>
        </is>
      </c>
      <c r="C2095" t="inlineStr">
        <is>
          <t>Porche Speers you want a drive one I</t>
        </is>
      </c>
      <c r="D2095">
        <f>HYPERLINK("https://www.youtube.com/watch?v=LKOwAt2A82w&amp;t=393s", "Go to time")</f>
        <v/>
      </c>
    </row>
    <row r="2096">
      <c r="A2096">
        <f>HYPERLINK("https://www.youtube.com/watch?v=t_DjHfZVOMY", "Video")</f>
        <v/>
      </c>
      <c r="B2096" t="inlineStr">
        <is>
          <t>2:03</t>
        </is>
      </c>
      <c r="C2096" t="inlineStr">
        <is>
          <t>drive because I told you that you know I</t>
        </is>
      </c>
      <c r="D2096">
        <f>HYPERLINK("https://www.youtube.com/watch?v=t_DjHfZVOMY&amp;t=123s", "Go to time")</f>
        <v/>
      </c>
    </row>
    <row r="2097">
      <c r="A2097">
        <f>HYPERLINK("https://www.youtube.com/watch?v=vdKoCnxxZmw", "Video")</f>
        <v/>
      </c>
      <c r="B2097" t="inlineStr">
        <is>
          <t>0:32</t>
        </is>
      </c>
      <c r="C2097" t="inlineStr">
        <is>
          <t>his troops I give my driver a tip and</t>
        </is>
      </c>
      <c r="D2097">
        <f>HYPERLINK("https://www.youtube.com/watch?v=vdKoCnxxZmw&amp;t=32s", "Go to time")</f>
        <v/>
      </c>
    </row>
    <row r="2098">
      <c r="A2098">
        <f>HYPERLINK("https://www.youtube.com/watch?v=66QdlDz-COY", "Video")</f>
        <v/>
      </c>
      <c r="B2098" t="inlineStr">
        <is>
          <t>1:12</t>
        </is>
      </c>
      <c r="C2098" t="inlineStr">
        <is>
          <t>twenty minute drive from harvard so you</t>
        </is>
      </c>
      <c r="D2098">
        <f>HYPERLINK("https://www.youtube.com/watch?v=66QdlDz-COY&amp;t=72s", "Go to time")</f>
        <v/>
      </c>
    </row>
    <row r="2099">
      <c r="A2099">
        <f>HYPERLINK("https://www.youtube.com/watch?v=66QdlDz-COY", "Video")</f>
        <v/>
      </c>
      <c r="B2099" t="inlineStr">
        <is>
          <t>1:14</t>
        </is>
      </c>
      <c r="C2099" t="inlineStr">
        <is>
          <t>say you made that drive every day</t>
        </is>
      </c>
      <c r="D2099">
        <f>HYPERLINK("https://www.youtube.com/watch?v=66QdlDz-COY&amp;t=74s", "Go to time")</f>
        <v/>
      </c>
    </row>
    <row r="2100">
      <c r="A2100">
        <f>HYPERLINK("https://www.youtube.com/watch?v=Wx4oslM5NJA", "Video")</f>
        <v/>
      </c>
      <c r="B2100" t="inlineStr">
        <is>
          <t>1:01</t>
        </is>
      </c>
      <c r="C2100" t="inlineStr">
        <is>
          <t>driver's seat on Folsom foods ok you got</t>
        </is>
      </c>
      <c r="D2100">
        <f>HYPERLINK("https://www.youtube.com/watch?v=Wx4oslM5NJA&amp;t=61s", "Go to time")</f>
        <v/>
      </c>
    </row>
    <row r="2101">
      <c r="A2101">
        <f>HYPERLINK("https://www.youtube.com/watch?v=C8bDoiriDlU", "Video")</f>
        <v/>
      </c>
      <c r="B2101" t="inlineStr">
        <is>
          <t>1:35</t>
        </is>
      </c>
      <c r="C2101" t="inlineStr">
        <is>
          <t>traders they're gonna drive lewis crazy</t>
        </is>
      </c>
      <c r="D2101">
        <f>HYPERLINK("https://www.youtube.com/watch?v=C8bDoiriDlU&amp;t=95s", "Go to time")</f>
        <v/>
      </c>
    </row>
    <row r="2102">
      <c r="A2102">
        <f>HYPERLINK("https://www.youtube.com/watch?v=5oeZfcQydnY", "Video")</f>
        <v/>
      </c>
      <c r="B2102" t="inlineStr">
        <is>
          <t>4:57</t>
        </is>
      </c>
      <c r="C2102" t="inlineStr">
        <is>
          <t>didn't save it to your hard drive</t>
        </is>
      </c>
      <c r="D2102">
        <f>HYPERLINK("https://www.youtube.com/watch?v=5oeZfcQydnY&amp;t=297s", "Go to time")</f>
        <v/>
      </c>
    </row>
    <row r="2103">
      <c r="A2103">
        <f>HYPERLINK("https://www.youtube.com/watch?v=YkUxTzyj5A8", "Video")</f>
        <v/>
      </c>
      <c r="B2103" t="inlineStr">
        <is>
          <t>2:30</t>
        </is>
      </c>
      <c r="C2103" t="inlineStr">
        <is>
          <t>forged a fake driver's license and</t>
        </is>
      </c>
      <c r="D2103">
        <f>HYPERLINK("https://www.youtube.com/watch?v=YkUxTzyj5A8&amp;t=150s", "Go to time")</f>
        <v/>
      </c>
    </row>
    <row r="2104">
      <c r="A2104">
        <f>HYPERLINK("https://www.youtube.com/watch?v=fJSoWdkDVIY", "Video")</f>
        <v/>
      </c>
      <c r="B2104" t="inlineStr">
        <is>
          <t>5:24</t>
        </is>
      </c>
      <c r="C2104" t="inlineStr">
        <is>
          <t>get to drive a badass car and I get to</t>
        </is>
      </c>
      <c r="D2104">
        <f>HYPERLINK("https://www.youtube.com/watch?v=fJSoWdkDVIY&amp;t=324s", "Go to time")</f>
        <v/>
      </c>
    </row>
    <row r="2105">
      <c r="A2105">
        <f>HYPERLINK("https://www.youtube.com/watch?v=r1Xk2y4MLaM", "Video")</f>
        <v/>
      </c>
      <c r="B2105" t="inlineStr">
        <is>
          <t>5:34</t>
        </is>
      </c>
      <c r="C2105" t="inlineStr">
        <is>
          <t>exactly a 3-hour and 20-minute drive</t>
        </is>
      </c>
      <c r="D2105">
        <f>HYPERLINK("https://www.youtube.com/watch?v=r1Xk2y4MLaM&amp;t=334s", "Go to time")</f>
        <v/>
      </c>
    </row>
    <row r="2106">
      <c r="A2106">
        <f>HYPERLINK("https://www.youtube.com/watch?v=r1Xk2y4MLaM", "Video")</f>
        <v/>
      </c>
      <c r="B2106" t="inlineStr">
        <is>
          <t>5:37</t>
        </is>
      </c>
      <c r="C2106" t="inlineStr">
        <is>
          <t>drive every day no I only went up for</t>
        </is>
      </c>
      <c r="D2106">
        <f>HYPERLINK("https://www.youtube.com/watch?v=r1Xk2y4MLaM&amp;t=337s", "Go to time")</f>
        <v/>
      </c>
    </row>
    <row r="2107">
      <c r="A2107">
        <f>HYPERLINK("https://www.youtube.com/watch?v=7bulE7AmGRE", "Video")</f>
        <v/>
      </c>
      <c r="B2107" t="inlineStr">
        <is>
          <t>3:22</t>
        </is>
      </c>
      <c r="C2107" t="inlineStr">
        <is>
          <t>exactly a three hour and 20 minute drive</t>
        </is>
      </c>
      <c r="D2107">
        <f>HYPERLINK("https://www.youtube.com/watch?v=7bulE7AmGRE&amp;t=202s", "Go to time")</f>
        <v/>
      </c>
    </row>
    <row r="2108">
      <c r="A2108">
        <f>HYPERLINK("https://www.youtube.com/watch?v=7bulE7AmGRE", "Video")</f>
        <v/>
      </c>
      <c r="B2108" t="inlineStr">
        <is>
          <t>3:25</t>
        </is>
      </c>
      <c r="C2108" t="inlineStr">
        <is>
          <t>drive every day no I only went up for</t>
        </is>
      </c>
      <c r="D2108">
        <f>HYPERLINK("https://www.youtube.com/watch?v=7bulE7AmGRE&amp;t=205s", "Go to time")</f>
        <v/>
      </c>
    </row>
    <row r="2109">
      <c r="A2109">
        <f>HYPERLINK("https://www.youtube.com/watch?v=6sYIhSaPi2w", "Video")</f>
        <v/>
      </c>
      <c r="B2109" t="inlineStr">
        <is>
          <t>1:26</t>
        </is>
      </c>
      <c r="C2109" t="inlineStr">
        <is>
          <t>drunk driver oh so you don't actually</t>
        </is>
      </c>
      <c r="D2109">
        <f>HYPERLINK("https://www.youtube.com/watch?v=6sYIhSaPi2w&amp;t=86s", "Go to time")</f>
        <v/>
      </c>
    </row>
    <row r="2110">
      <c r="A2110">
        <f>HYPERLINK("https://www.youtube.com/watch?v=9JIxhOdY0G0", "Video")</f>
        <v/>
      </c>
      <c r="B2110" t="inlineStr">
        <is>
          <t>16:27</t>
        </is>
      </c>
      <c r="C2110" t="inlineStr">
        <is>
          <t>too much I can always have Ray Drive I</t>
        </is>
      </c>
      <c r="D2110">
        <f>HYPERLINK("https://www.youtube.com/watch?v=9JIxhOdY0G0&amp;t=987s", "Go to time")</f>
        <v/>
      </c>
    </row>
    <row r="2111">
      <c r="A2111">
        <f>HYPERLINK("https://www.youtube.com/watch?v=o3GjMG1Zz0g", "Video")</f>
        <v/>
      </c>
      <c r="B2111" t="inlineStr">
        <is>
          <t>0:30</t>
        </is>
      </c>
      <c r="C2111" t="inlineStr">
        <is>
          <t>jerks drive fast cars so what are the</t>
        </is>
      </c>
      <c r="D2111">
        <f>HYPERLINK("https://www.youtube.com/watch?v=o3GjMG1Zz0g&amp;t=30s", "Go to time")</f>
        <v/>
      </c>
    </row>
    <row r="2112">
      <c r="A2112">
        <f>HYPERLINK("https://www.youtube.com/watch?v=j_Yp4J-pBno", "Video")</f>
        <v/>
      </c>
      <c r="B2112" t="inlineStr">
        <is>
          <t>0:54</t>
        </is>
      </c>
      <c r="C2112" t="inlineStr">
        <is>
          <t>what drives me I know that if you came</t>
        </is>
      </c>
      <c r="D2112">
        <f>HYPERLINK("https://www.youtube.com/watch?v=j_Yp4J-pBno&amp;t=54s", "Go to time")</f>
        <v/>
      </c>
    </row>
    <row r="2113">
      <c r="A2113">
        <f>HYPERLINK("https://www.youtube.com/watch?v=j_Yp4J-pBno", "Video")</f>
        <v/>
      </c>
      <c r="B2113" t="inlineStr">
        <is>
          <t>1:15</t>
        </is>
      </c>
      <c r="C2113" t="inlineStr">
        <is>
          <t>know what drives you because we are cut</t>
        </is>
      </c>
      <c r="D2113">
        <f>HYPERLINK("https://www.youtube.com/watch?v=j_Yp4J-pBno&amp;t=75s", "Go to time")</f>
        <v/>
      </c>
    </row>
    <row r="2114">
      <c r="A2114">
        <f>HYPERLINK("https://www.youtube.com/watch?v=LU1vDwlFqrE", "Video")</f>
        <v/>
      </c>
      <c r="B2114" t="inlineStr">
        <is>
          <t>7:55</t>
        </is>
      </c>
      <c r="C2114" t="inlineStr">
        <is>
          <t>suit to drive us into the ground and</t>
        </is>
      </c>
      <c r="D2114">
        <f>HYPERLINK("https://www.youtube.com/watch?v=LU1vDwlFqrE&amp;t=475s", "Go to time")</f>
        <v/>
      </c>
    </row>
    <row r="2115">
      <c r="A2115">
        <f>HYPERLINK("https://www.youtube.com/watch?v=kjACYqzzs18", "Video")</f>
        <v/>
      </c>
      <c r="B2115" t="inlineStr">
        <is>
          <t>0:31</t>
        </is>
      </c>
      <c r="C2115" t="inlineStr">
        <is>
          <t>knows that it will only drive you away</t>
        </is>
      </c>
      <c r="D2115">
        <f>HYPERLINK("https://www.youtube.com/watch?v=kjACYqzzs18&amp;t=31s", "Go to time")</f>
        <v/>
      </c>
    </row>
    <row r="2116">
      <c r="A2116">
        <f>HYPERLINK("https://www.youtube.com/watch?v=f7s1WSneqZ8", "Video")</f>
        <v/>
      </c>
      <c r="B2116" t="inlineStr">
        <is>
          <t>5:31</t>
        </is>
      </c>
      <c r="C2116" t="inlineStr">
        <is>
          <t>Rey happen to be the driver he found it</t>
        </is>
      </c>
      <c r="D2116">
        <f>HYPERLINK("https://www.youtube.com/watch?v=f7s1WSneqZ8&amp;t=331s", "Go to time")</f>
        <v/>
      </c>
    </row>
    <row r="2117">
      <c r="A2117">
        <f>HYPERLINK("https://www.youtube.com/watch?v=mh4uoICQSsI", "Video")</f>
        <v/>
      </c>
      <c r="B2117" t="inlineStr">
        <is>
          <t>3:29</t>
        </is>
      </c>
      <c r="C2117" t="inlineStr">
        <is>
          <t>drive from harvard so you say you made</t>
        </is>
      </c>
      <c r="D2117">
        <f>HYPERLINK("https://www.youtube.com/watch?v=mh4uoICQSsI&amp;t=209s", "Go to time")</f>
        <v/>
      </c>
    </row>
    <row r="2118">
      <c r="A2118">
        <f>HYPERLINK("https://www.youtube.com/watch?v=mh4uoICQSsI", "Video")</f>
        <v/>
      </c>
      <c r="B2118" t="inlineStr">
        <is>
          <t>3:31</t>
        </is>
      </c>
      <c r="C2118" t="inlineStr">
        <is>
          <t>that drive every day no i only went up</t>
        </is>
      </c>
      <c r="D2118">
        <f>HYPERLINK("https://www.youtube.com/watch?v=mh4uoICQSsI&amp;t=211s", "Go to time")</f>
        <v/>
      </c>
    </row>
    <row r="2119">
      <c r="A2119">
        <f>HYPERLINK("https://www.youtube.com/watch?v=nMr0jqG_ei4", "Video")</f>
        <v/>
      </c>
      <c r="B2119" t="inlineStr">
        <is>
          <t>1:16</t>
        </is>
      </c>
      <c r="C2119" t="inlineStr">
        <is>
          <t>One day, I parked two inches
inside his driveway</t>
        </is>
      </c>
      <c r="D2119">
        <f>HYPERLINK("https://www.youtube.com/watch?v=nMr0jqG_ei4&amp;t=76s", "Go to time")</f>
        <v/>
      </c>
    </row>
    <row r="2120">
      <c r="A2120">
        <f>HYPERLINK("https://www.youtube.com/watch?v=UxnAOY92cdM", "Video")</f>
        <v/>
      </c>
      <c r="B2120" t="inlineStr">
        <is>
          <t>0:13</t>
        </is>
      </c>
      <c r="C2120" t="inlineStr">
        <is>
          <t>here to tell me I can drive this better</t>
        </is>
      </c>
      <c r="D2120">
        <f>HYPERLINK("https://www.youtube.com/watch?v=UxnAOY92cdM&amp;t=13s", "Go to time")</f>
        <v/>
      </c>
    </row>
    <row r="2121">
      <c r="A2121">
        <f>HYPERLINK("https://www.youtube.com/watch?v=27l_68t8ntQ", "Video")</f>
        <v/>
      </c>
      <c r="B2121" t="inlineStr">
        <is>
          <t>2:33</t>
        </is>
      </c>
      <c r="C2121" t="inlineStr">
        <is>
          <t>they're gonna Drive Lewis crazy</t>
        </is>
      </c>
      <c r="D2121">
        <f>HYPERLINK("https://www.youtube.com/watch?v=27l_68t8ntQ&amp;t=153s", "Go to time")</f>
        <v/>
      </c>
    </row>
    <row r="2122">
      <c r="A2122">
        <f>HYPERLINK("https://www.youtube.com/watch?v=IMJuhBzdiOQ", "Video")</f>
        <v/>
      </c>
      <c r="B2122" t="inlineStr">
        <is>
          <t>8:55</t>
        </is>
      </c>
      <c r="C2122" t="inlineStr">
        <is>
          <t>dollars it's why I drive a Subaru yeah I</t>
        </is>
      </c>
      <c r="D2122">
        <f>HYPERLINK("https://www.youtube.com/watch?v=IMJuhBzdiOQ&amp;t=535s", "Go to time")</f>
        <v/>
      </c>
    </row>
    <row r="2123">
      <c r="A2123">
        <f>HYPERLINK("https://www.youtube.com/watch?v=jEGASy9Lyiw", "Video")</f>
        <v/>
      </c>
      <c r="B2123" t="inlineStr">
        <is>
          <t>7:02</t>
        </is>
      </c>
      <c r="C2123" t="inlineStr">
        <is>
          <t>can drive this better for $250 million</t>
        </is>
      </c>
      <c r="D2123">
        <f>HYPERLINK("https://www.youtube.com/watch?v=jEGASy9Lyiw&amp;t=422s", "Go to time")</f>
        <v/>
      </c>
    </row>
    <row r="2124">
      <c r="A2124">
        <f>HYPERLINK("https://www.youtube.com/watch?v=5etGt8IkiXY", "Video")</f>
        <v/>
      </c>
      <c r="B2124" t="inlineStr">
        <is>
          <t>13:56</t>
        </is>
      </c>
      <c r="C2124" t="inlineStr">
        <is>
          <t>exactly a 3-h hour and 20-minute drive</t>
        </is>
      </c>
      <c r="D2124">
        <f>HYPERLINK("https://www.youtube.com/watch?v=5etGt8IkiXY&amp;t=836s", "Go to time")</f>
        <v/>
      </c>
    </row>
    <row r="2125">
      <c r="A2125">
        <f>HYPERLINK("https://www.youtube.com/watch?v=5etGt8IkiXY", "Video")</f>
        <v/>
      </c>
      <c r="B2125" t="inlineStr">
        <is>
          <t>13:59</t>
        </is>
      </c>
      <c r="C2125" t="inlineStr">
        <is>
          <t>that drive every day no I only went up</t>
        </is>
      </c>
      <c r="D2125">
        <f>HYPERLINK("https://www.youtube.com/watch?v=5etGt8IkiXY&amp;t=839s", "Go to time")</f>
        <v/>
      </c>
    </row>
    <row r="2126">
      <c r="A2126">
        <f>HYPERLINK("https://www.youtube.com/watch?v=eDjDIuKgCVI", "Video")</f>
        <v/>
      </c>
      <c r="B2126" t="inlineStr">
        <is>
          <t>1:09</t>
        </is>
      </c>
      <c r="C2126" t="inlineStr">
        <is>
          <t>killed by a drunk driver and Liam said</t>
        </is>
      </c>
      <c r="D2126">
        <f>HYPERLINK("https://www.youtube.com/watch?v=eDjDIuKgCVI&amp;t=69s", "Go to time")</f>
        <v/>
      </c>
    </row>
    <row r="2127">
      <c r="A2127">
        <f>HYPERLINK("https://www.youtube.com/watch?v=hR0vNYeTwIY", "Video")</f>
        <v/>
      </c>
      <c r="B2127" t="inlineStr">
        <is>
          <t>0:40</t>
        </is>
      </c>
      <c r="C2127" t="inlineStr">
        <is>
          <t>acquaint yourself with drivex company</t>
        </is>
      </c>
      <c r="D2127">
        <f>HYPERLINK("https://www.youtube.com/watch?v=hR0vNYeTwIY&amp;t=40s", "Go to time")</f>
        <v/>
      </c>
    </row>
    <row r="2128">
      <c r="A2128">
        <f>HYPERLINK("https://www.youtube.com/watch?v=hR0vNYeTwIY", "Video")</f>
        <v/>
      </c>
      <c r="B2128" t="inlineStr">
        <is>
          <t>7:51</t>
        </is>
      </c>
      <c r="C2128" t="inlineStr">
        <is>
          <t>not what drive's going bankrupt after</t>
        </is>
      </c>
      <c r="D2128">
        <f>HYPERLINK("https://www.youtube.com/watch?v=hR0vNYeTwIY&amp;t=471s", "Go to time")</f>
        <v/>
      </c>
    </row>
    <row r="2129">
      <c r="A2129">
        <f>HYPERLINK("https://www.youtube.com/watch?v=XWnTWYfYu3Y", "Video")</f>
        <v/>
      </c>
      <c r="B2129" t="inlineStr">
        <is>
          <t>0:55</t>
        </is>
      </c>
      <c r="C2129" t="inlineStr">
        <is>
          <t>driver taketh me to Williamsburg it's</t>
        </is>
      </c>
      <c r="D2129">
        <f>HYPERLINK("https://www.youtube.com/watch?v=XWnTWYfYu3Y&amp;t=55s", "Go to time")</f>
        <v/>
      </c>
    </row>
    <row r="2130">
      <c r="A2130">
        <f>HYPERLINK("https://www.youtube.com/watch?v=SbyqKxvKca8", "Video")</f>
        <v/>
      </c>
      <c r="B2130" t="inlineStr">
        <is>
          <t>4:59</t>
        </is>
      </c>
      <c r="C2130" t="inlineStr">
        <is>
          <t>get these guys hammered so you can drive</t>
        </is>
      </c>
      <c r="D2130">
        <f>HYPERLINK("https://www.youtube.com/watch?v=SbyqKxvKca8&amp;t=299s", "Go to time")</f>
        <v/>
      </c>
    </row>
    <row r="2131">
      <c r="A2131">
        <f>HYPERLINK("https://www.youtube.com/watch?v=Rof7xcO_TIY", "Video")</f>
        <v/>
      </c>
      <c r="B2131" t="inlineStr">
        <is>
          <t>3:19</t>
        </is>
      </c>
      <c r="C2131" t="inlineStr">
        <is>
          <t>cab driver hit Ray named me as a witness</t>
        </is>
      </c>
      <c r="D2131">
        <f>HYPERLINK("https://www.youtube.com/watch?v=Rof7xcO_TIY&amp;t=199s", "Go to time")</f>
        <v/>
      </c>
    </row>
    <row r="2132">
      <c r="A2132">
        <f>HYPERLINK("https://www.youtube.com/watch?v=CF4oCizy44A", "Video")</f>
        <v/>
      </c>
      <c r="B2132" t="inlineStr">
        <is>
          <t>3:28</t>
        </is>
      </c>
      <c r="C2132" t="inlineStr">
        <is>
          <t>to drive a wedge between us all you want</t>
        </is>
      </c>
      <c r="D2132">
        <f>HYPERLINK("https://www.youtube.com/watch?v=CF4oCizy44A&amp;t=208s", "Go to time")</f>
        <v/>
      </c>
    </row>
    <row r="2133">
      <c r="A2133">
        <f>HYPERLINK("https://www.youtube.com/watch?v=CF4oCizy44A", "Video")</f>
        <v/>
      </c>
      <c r="B2133" t="inlineStr">
        <is>
          <t>3:36</t>
        </is>
      </c>
      <c r="C2133" t="inlineStr">
        <is>
          <t>well you know if I can't drive a wedge I</t>
        </is>
      </c>
      <c r="D2133">
        <f>HYPERLINK("https://www.youtube.com/watch?v=CF4oCizy44A&amp;t=216s", "Go to time")</f>
        <v/>
      </c>
    </row>
    <row r="2134">
      <c r="A2134">
        <f>HYPERLINK("https://www.youtube.com/watch?v=CF4oCizy44A", "Video")</f>
        <v/>
      </c>
      <c r="B2134" t="inlineStr">
        <is>
          <t>3:37</t>
        </is>
      </c>
      <c r="C2134" t="inlineStr">
        <is>
          <t>can't drive away but what it's going to</t>
        </is>
      </c>
      <c r="D2134">
        <f>HYPERLINK("https://www.youtube.com/watch?v=CF4oCizy44A&amp;t=217s", "Go to time")</f>
        <v/>
      </c>
    </row>
    <row r="2135">
      <c r="A2135">
        <f>HYPERLINK("https://www.youtube.com/watch?v=CF4oCizy44A", "Video")</f>
        <v/>
      </c>
      <c r="B2135" t="inlineStr">
        <is>
          <t>3:45</t>
        </is>
      </c>
      <c r="C2135" t="inlineStr">
        <is>
          <t>his oh look at that maybe I did drive a</t>
        </is>
      </c>
      <c r="D2135">
        <f>HYPERLINK("https://www.youtube.com/watch?v=CF4oCizy44A&amp;t=225s", "Go to time")</f>
        <v/>
      </c>
    </row>
    <row r="2136">
      <c r="A2136">
        <f>HYPERLINK("https://www.youtube.com/watch?v=CF4oCizy44A", "Video")</f>
        <v/>
      </c>
      <c r="B2136" t="inlineStr">
        <is>
          <t>3:53</t>
        </is>
      </c>
      <c r="C2136" t="inlineStr">
        <is>
          <t>sweepy you didn't drive a wedge between</t>
        </is>
      </c>
      <c r="D2136">
        <f>HYPERLINK("https://www.youtube.com/watch?v=CF4oCizy44A&amp;t=233s", "Go to time")</f>
        <v/>
      </c>
    </row>
    <row r="2137">
      <c r="A2137">
        <f>HYPERLINK("https://www.youtube.com/watch?v=59FqH47vOpA", "Video")</f>
        <v/>
      </c>
      <c r="B2137" t="inlineStr">
        <is>
          <t>4:49</t>
        </is>
      </c>
      <c r="C2137" t="inlineStr">
        <is>
          <t>of the work that drives me</t>
        </is>
      </c>
      <c r="D2137">
        <f>HYPERLINK("https://www.youtube.com/watch?v=59FqH47vOpA&amp;t=289s", "Go to time")</f>
        <v/>
      </c>
    </row>
    <row r="2138">
      <c r="A2138">
        <f>HYPERLINK("https://www.youtube.com/watch?v=Wh9LdSEc29M", "Video")</f>
        <v/>
      </c>
      <c r="B2138" t="inlineStr">
        <is>
          <t>1:44</t>
        </is>
      </c>
      <c r="C2138" t="inlineStr">
        <is>
          <t>you know you drive like my Nana can</t>
        </is>
      </c>
      <c r="D2138">
        <f>HYPERLINK("https://www.youtube.com/watch?v=Wh9LdSEc29M&amp;t=104s", "Go to time")</f>
        <v/>
      </c>
    </row>
    <row r="2139">
      <c r="A2139">
        <f>HYPERLINK("https://www.youtube.com/watch?v=Wh9LdSEc29M", "Video")</f>
        <v/>
      </c>
      <c r="B2139" t="inlineStr">
        <is>
          <t>1:45</t>
        </is>
      </c>
      <c r="C2139" t="inlineStr">
        <is>
          <t>drive like my Nana she's 102 relax Louis</t>
        </is>
      </c>
      <c r="D2139">
        <f>HYPERLINK("https://www.youtube.com/watch?v=Wh9LdSEc29M&amp;t=105s", "Go to time")</f>
        <v/>
      </c>
    </row>
    <row r="2140">
      <c r="A2140">
        <f>HYPERLINK("https://www.youtube.com/watch?v=Wh9LdSEc29M", "Video")</f>
        <v/>
      </c>
      <c r="B2140" t="inlineStr">
        <is>
          <t>2:13</t>
        </is>
      </c>
      <c r="C2140" t="inlineStr">
        <is>
          <t>hope that Ray drives a little goddamn</t>
        </is>
      </c>
      <c r="D2140">
        <f>HYPERLINK("https://www.youtube.com/watch?v=Wh9LdSEc29M&amp;t=133s", "Go to time")</f>
        <v/>
      </c>
    </row>
    <row r="2141">
      <c r="A2141">
        <f>HYPERLINK("https://www.youtube.com/watch?v=R6FHs4bsbJc", "Video")</f>
        <v/>
      </c>
      <c r="B2141" t="inlineStr">
        <is>
          <t>6:41</t>
        </is>
      </c>
      <c r="C2141" t="inlineStr">
        <is>
          <t>20-minute drive from Harvard so you</t>
        </is>
      </c>
      <c r="D2141">
        <f>HYPERLINK("https://www.youtube.com/watch?v=R6FHs4bsbJc&amp;t=401s", "Go to time")</f>
        <v/>
      </c>
    </row>
    <row r="2142">
      <c r="A2142">
        <f>HYPERLINK("https://www.youtube.com/watch?v=R6FHs4bsbJc", "Video")</f>
        <v/>
      </c>
      <c r="B2142" t="inlineStr">
        <is>
          <t>6:42</t>
        </is>
      </c>
      <c r="C2142" t="inlineStr">
        <is>
          <t>saying you made that drive every day no</t>
        </is>
      </c>
      <c r="D2142">
        <f>HYPERLINK("https://www.youtube.com/watch?v=R6FHs4bsbJc&amp;t=402s", "Go to time")</f>
        <v/>
      </c>
    </row>
    <row r="2143">
      <c r="A2143">
        <f>HYPERLINK("https://www.youtube.com/watch?v=d87nn72JtjA", "Video")</f>
        <v/>
      </c>
      <c r="B2143" t="inlineStr">
        <is>
          <t>1:55</t>
        </is>
      </c>
      <c r="C2143" t="inlineStr">
        <is>
          <t>exactly a 3-hour and 20-minute drive</t>
        </is>
      </c>
      <c r="D2143">
        <f>HYPERLINK("https://www.youtube.com/watch?v=d87nn72JtjA&amp;t=115s", "Go to time")</f>
        <v/>
      </c>
    </row>
    <row r="2144">
      <c r="A2144">
        <f>HYPERLINK("https://www.youtube.com/watch?v=d87nn72JtjA", "Video")</f>
        <v/>
      </c>
      <c r="B2144" t="inlineStr">
        <is>
          <t>1:59</t>
        </is>
      </c>
      <c r="C2144" t="inlineStr">
        <is>
          <t>drive every day no I only went up for</t>
        </is>
      </c>
      <c r="D2144">
        <f>HYPERLINK("https://www.youtube.com/watch?v=d87nn72JtjA&amp;t=119s", "Go to time")</f>
        <v/>
      </c>
    </row>
    <row r="2145">
      <c r="A2145">
        <f>HYPERLINK("https://www.youtube.com/watch?v=Kip-zjn5njY", "Video")</f>
        <v/>
      </c>
      <c r="B2145" t="inlineStr">
        <is>
          <t>9:42</t>
        </is>
      </c>
      <c r="C2145" t="inlineStr">
        <is>
          <t>that it will only drive you away if she</t>
        </is>
      </c>
      <c r="D2145">
        <f>HYPERLINK("https://www.youtube.com/watch?v=Kip-zjn5njY&amp;t=582s", "Go to time")</f>
        <v/>
      </c>
    </row>
    <row r="2146">
      <c r="A2146">
        <f>HYPERLINK("https://www.youtube.com/watch?v=Z7VMowyi7hY", "Video")</f>
        <v/>
      </c>
      <c r="B2146" t="inlineStr">
        <is>
          <t>8:16</t>
        </is>
      </c>
      <c r="C2146" t="inlineStr">
        <is>
          <t>right we did she forged a fake driver's</t>
        </is>
      </c>
      <c r="D2146">
        <f>HYPERLINK("https://www.youtube.com/watch?v=Z7VMowyi7hY&amp;t=496s", "Go to time")</f>
        <v/>
      </c>
    </row>
    <row r="2147">
      <c r="A2147">
        <f>HYPERLINK("https://www.youtube.com/watch?v=LYGy5w7OhAY", "Video")</f>
        <v/>
      </c>
      <c r="B2147" t="inlineStr">
        <is>
          <t>0:06</t>
        </is>
      </c>
      <c r="C2147" t="inlineStr">
        <is>
          <t>they're gonna drive lewis crazy</t>
        </is>
      </c>
      <c r="D2147">
        <f>HYPERLINK("https://www.youtube.com/watch?v=LYGy5w7OhAY&amp;t=6s", "Go to time")</f>
        <v/>
      </c>
    </row>
    <row r="2148">
      <c r="A2148">
        <f>HYPERLINK("https://www.youtube.com/watch?v=040UOdReSBs", "Video")</f>
        <v/>
      </c>
      <c r="B2148" t="inlineStr">
        <is>
          <t>14:23</t>
        </is>
      </c>
      <c r="C2148" t="inlineStr">
        <is>
          <t>served cab driver hit Ray named me as a</t>
        </is>
      </c>
      <c r="D2148">
        <f>HYPERLINK("https://www.youtube.com/watch?v=040UOdReSBs&amp;t=863s", "Go to time")</f>
        <v/>
      </c>
    </row>
    <row r="2149">
      <c r="A2149">
        <f>HYPERLINK("https://www.youtube.com/watch?v=040UOdReSBs", "Video")</f>
        <v/>
      </c>
      <c r="B2149" t="inlineStr">
        <is>
          <t>22:56</t>
        </is>
      </c>
      <c r="C2149" t="inlineStr">
        <is>
          <t>lied back when Drive hired</t>
        </is>
      </c>
      <c r="D2149">
        <f>HYPERLINK("https://www.youtube.com/watch?v=040UOdReSBs&amp;t=1376s", "Go to time")</f>
        <v/>
      </c>
    </row>
    <row r="2150">
      <c r="A2150">
        <f>HYPERLINK("https://www.youtube.com/watch?v=fuiG4PeKHLU", "Video")</f>
        <v/>
      </c>
      <c r="B2150" t="inlineStr">
        <is>
          <t>2:14</t>
        </is>
      </c>
      <c r="C2150" t="inlineStr">
        <is>
          <t>i have your driver's license number from</t>
        </is>
      </c>
      <c r="D2150">
        <f>HYPERLINK("https://www.youtube.com/watch?v=fuiG4PeKHLU&amp;t=134s", "Go to time")</f>
        <v/>
      </c>
    </row>
    <row r="2151">
      <c r="A2151">
        <f>HYPERLINK("https://www.youtube.com/watch?v=eULsY6798So", "Video")</f>
        <v/>
      </c>
      <c r="B2151" t="inlineStr">
        <is>
          <t>15:50</t>
        </is>
      </c>
      <c r="C2151" t="inlineStr">
        <is>
          <t>satisfaction of the work that drives me</t>
        </is>
      </c>
      <c r="D2151">
        <f>HYPERLINK("https://www.youtube.com/watch?v=eULsY6798So&amp;t=950s", "Go to time")</f>
        <v/>
      </c>
    </row>
    <row r="2152">
      <c r="A2152">
        <f>HYPERLINK("https://www.youtube.com/watch?v=OhpwY9hHds4", "Video")</f>
        <v/>
      </c>
      <c r="B2152" t="inlineStr">
        <is>
          <t>1:26</t>
        </is>
      </c>
      <c r="C2152" t="inlineStr">
        <is>
          <t>drunk driver oh so you don't actually</t>
        </is>
      </c>
      <c r="D2152">
        <f>HYPERLINK("https://www.youtube.com/watch?v=OhpwY9hHds4&amp;t=86s", "Go to time")</f>
        <v/>
      </c>
    </row>
    <row r="2153">
      <c r="A2153">
        <f>HYPERLINK("https://www.youtube.com/watch?v=uaLG1iioe0c", "Video")</f>
        <v/>
      </c>
      <c r="B2153" t="inlineStr">
        <is>
          <t>2:47</t>
        </is>
      </c>
      <c r="C2153" t="inlineStr">
        <is>
          <t>drive which has your computer's digital</t>
        </is>
      </c>
      <c r="D2153">
        <f>HYPERLINK("https://www.youtube.com/watch?v=uaLG1iioe0c&amp;t=167s", "Go to time")</f>
        <v/>
      </c>
    </row>
    <row r="2154">
      <c r="A2154">
        <f>HYPERLINK("https://www.youtube.com/watch?v=1UYsrnyry_0", "Video")</f>
        <v/>
      </c>
      <c r="B2154" t="inlineStr">
        <is>
          <t>6:41</t>
        </is>
      </c>
      <c r="C2154" t="inlineStr">
        <is>
          <t>your driver's license number from 7</t>
        </is>
      </c>
      <c r="D2154">
        <f>HYPERLINK("https://www.youtube.com/watch?v=1UYsrnyry_0&amp;t=401s", "Go to time")</f>
        <v/>
      </c>
    </row>
    <row r="2155">
      <c r="A2155">
        <f>HYPERLINK("https://www.youtube.com/watch?v=pAwVlYwE3nw", "Video")</f>
        <v/>
      </c>
      <c r="B2155" t="inlineStr">
        <is>
          <t>8:35</t>
        </is>
      </c>
      <c r="C2155" t="inlineStr">
        <is>
          <t>my client's apartment to drive him out</t>
        </is>
      </c>
      <c r="D2155">
        <f>HYPERLINK("https://www.youtube.com/watch?v=pAwVlYwE3nw&amp;t=515s", "Go to time")</f>
        <v/>
      </c>
    </row>
    <row r="2156">
      <c r="A2156">
        <f>HYPERLINK("https://www.youtube.com/watch?v=06XvcUZWYsU", "Video")</f>
        <v/>
      </c>
      <c r="B2156" t="inlineStr">
        <is>
          <t>0:14</t>
        </is>
      </c>
      <c r="C2156" t="inlineStr">
        <is>
          <t>office you know it's like when you drive</t>
        </is>
      </c>
      <c r="D2156">
        <f>HYPERLINK("https://www.youtube.com/watch?v=06XvcUZWYsU&amp;t=14s", "Go to time")</f>
        <v/>
      </c>
    </row>
    <row r="2157">
      <c r="A2157">
        <f>HYPERLINK("https://www.youtube.com/watch?v=GN26cnBpbew", "Video")</f>
        <v/>
      </c>
      <c r="B2157" t="inlineStr">
        <is>
          <t>9:06</t>
        </is>
      </c>
      <c r="C2157" t="inlineStr">
        <is>
          <t>you didn't save it to your heart drive</t>
        </is>
      </c>
      <c r="D2157">
        <f>HYPERLINK("https://www.youtube.com/watch?v=GN26cnBpbew&amp;t=546s", "Go to time")</f>
        <v/>
      </c>
    </row>
    <row r="2158">
      <c r="A2158">
        <f>HYPERLINK("https://www.youtube.com/watch?v=j9W5ZbOUuoQ", "Video")</f>
        <v/>
      </c>
      <c r="B2158" t="inlineStr">
        <is>
          <t>0:48</t>
        </is>
      </c>
      <c r="C2158" t="inlineStr">
        <is>
          <t>-You don't know the first
damn thing about what drives me.</t>
        </is>
      </c>
      <c r="D2158">
        <f>HYPERLINK("https://www.youtube.com/watch?v=j9W5ZbOUuoQ&amp;t=48s", "Go to time")</f>
        <v/>
      </c>
    </row>
    <row r="2159">
      <c r="A2159">
        <f>HYPERLINK("https://www.youtube.com/watch?v=IFE5L0ZNsq4", "Video")</f>
        <v/>
      </c>
      <c r="B2159" t="inlineStr">
        <is>
          <t>2:34</t>
        </is>
      </c>
      <c r="C2159" t="inlineStr">
        <is>
          <t>he used to drive this car all the time</t>
        </is>
      </c>
      <c r="D2159">
        <f>HYPERLINK("https://www.youtube.com/watch?v=IFE5L0ZNsq4&amp;t=154s", "Go to time")</f>
        <v/>
      </c>
    </row>
    <row r="2160">
      <c r="A2160">
        <f>HYPERLINK("https://www.youtube.com/watch?v=ddAOQwxzq1o", "Video")</f>
        <v/>
      </c>
      <c r="B2160" t="inlineStr">
        <is>
          <t>3:39</t>
        </is>
      </c>
      <c r="C2160" t="inlineStr">
        <is>
          <t>hard drive that place is a</t>
        </is>
      </c>
      <c r="D2160">
        <f>HYPERLINK("https://www.youtube.com/watch?v=ddAOQwxzq1o&amp;t=219s", "Go to time")</f>
        <v/>
      </c>
    </row>
    <row r="2161">
      <c r="A2161">
        <f>HYPERLINK("https://www.youtube.com/watch?v=ddAOQwxzq1o", "Video")</f>
        <v/>
      </c>
      <c r="B2161" t="inlineStr">
        <is>
          <t>4:27</t>
        </is>
      </c>
      <c r="C2161" t="inlineStr">
        <is>
          <t>to a hard drive no way not only that I</t>
        </is>
      </c>
      <c r="D2161">
        <f>HYPERLINK("https://www.youtube.com/watch?v=ddAOQwxzq1o&amp;t=267s", "Go to time")</f>
        <v/>
      </c>
    </row>
    <row r="2162">
      <c r="A2162">
        <f>HYPERLINK("https://www.youtube.com/watch?v=ddAOQwxzq1o", "Video")</f>
        <v/>
      </c>
      <c r="B2162" t="inlineStr">
        <is>
          <t>8:54</t>
        </is>
      </c>
      <c r="C2162" t="inlineStr">
        <is>
          <t>letter was printed from your hard drive</t>
        </is>
      </c>
      <c r="D2162">
        <f>HYPERLINK("https://www.youtube.com/watch?v=ddAOQwxzq1o&amp;t=534s", "Go to time")</f>
        <v/>
      </c>
    </row>
    <row r="2163">
      <c r="A2163">
        <f>HYPERLINK("https://www.youtube.com/watch?v=StBb5zahi1I", "Video")</f>
        <v/>
      </c>
      <c r="B2163" t="inlineStr">
        <is>
          <t>2:02</t>
        </is>
      </c>
      <c r="C2163" t="inlineStr">
        <is>
          <t>save it to your hard drive because I</t>
        </is>
      </c>
      <c r="D2163">
        <f>HYPERLINK("https://www.youtube.com/watch?v=StBb5zahi1I&amp;t=122s", "Go to time")</f>
        <v/>
      </c>
    </row>
    <row r="2164">
      <c r="A2164">
        <f>HYPERLINK("https://www.youtube.com/watch?v=W7nfTmHrjEs", "Video")</f>
        <v/>
      </c>
      <c r="B2164" t="inlineStr">
        <is>
          <t>8:45</t>
        </is>
      </c>
      <c r="C2164" t="inlineStr">
        <is>
          <t>is get access to Harvey's hard drive</t>
        </is>
      </c>
      <c r="D2164">
        <f>HYPERLINK("https://www.youtube.com/watch?v=W7nfTmHrjEs&amp;t=525s", "Go to time")</f>
        <v/>
      </c>
    </row>
    <row r="2165">
      <c r="A2165">
        <f>HYPERLINK("https://www.youtube.com/watch?v=zvTSrEdikKE", "Video")</f>
        <v/>
      </c>
      <c r="B2165" t="inlineStr">
        <is>
          <t>2:03</t>
        </is>
      </c>
      <c r="C2165" t="inlineStr">
        <is>
          <t>it's like when you drive by the house he</t>
        </is>
      </c>
      <c r="D2165">
        <f>HYPERLINK("https://www.youtube.com/watch?v=zvTSrEdikKE&amp;t=123s", "Go to time")</f>
        <v/>
      </c>
    </row>
    <row r="2166">
      <c r="A2166">
        <f>HYPERLINK("https://www.youtube.com/watch?v=Il5anJqVVmo", "Video")</f>
        <v/>
      </c>
      <c r="B2166" t="inlineStr">
        <is>
          <t>2:49</t>
        </is>
      </c>
      <c r="C2166" t="inlineStr">
        <is>
          <t>know what this is ridiculous you drive</t>
        </is>
      </c>
      <c r="D2166">
        <f>HYPERLINK("https://www.youtube.com/watch?v=Il5anJqVVmo&amp;t=169s", "Go to time")</f>
        <v/>
      </c>
    </row>
    <row r="2167">
      <c r="A2167">
        <f>HYPERLINK("https://www.youtube.com/watch?v=Il5anJqVVmo", "Video")</f>
        <v/>
      </c>
      <c r="B2167" t="inlineStr">
        <is>
          <t>3:17</t>
        </is>
      </c>
      <c r="C2167" t="inlineStr">
        <is>
          <t>Lewis I don't know how to drive</t>
        </is>
      </c>
      <c r="D2167">
        <f>HYPERLINK("https://www.youtube.com/watch?v=Il5anJqVVmo&amp;t=197s", "Go to time")</f>
        <v/>
      </c>
    </row>
    <row r="2168">
      <c r="A2168">
        <f>HYPERLINK("https://www.youtube.com/watch?v=Il5anJqVVmo", "Video")</f>
        <v/>
      </c>
      <c r="B2168" t="inlineStr">
        <is>
          <t>4:10</t>
        </is>
      </c>
      <c r="C2168" t="inlineStr">
        <is>
          <t>he never learned to drive telling you</t>
        </is>
      </c>
      <c r="D2168">
        <f>HYPERLINK("https://www.youtube.com/watch?v=Il5anJqVVmo&amp;t=250s", "Go to time")</f>
        <v/>
      </c>
    </row>
    <row r="2169">
      <c r="A2169">
        <f>HYPERLINK("https://www.youtube.com/watch?v=Il5anJqVVmo", "Video")</f>
        <v/>
      </c>
      <c r="B2169" t="inlineStr">
        <is>
          <t>6:27</t>
        </is>
      </c>
      <c r="C2169" t="inlineStr">
        <is>
          <t>I never learned to drive for the same</t>
        </is>
      </c>
      <c r="D2169">
        <f>HYPERLINK("https://www.youtube.com/watch?v=Il5anJqVVmo&amp;t=387s", "Go to time")</f>
        <v/>
      </c>
    </row>
    <row r="2170">
      <c r="A2170">
        <f>HYPERLINK("https://www.youtube.com/watch?v=a_GzwxEahDs", "Video")</f>
        <v/>
      </c>
      <c r="B2170" t="inlineStr">
        <is>
          <t>6:31</t>
        </is>
      </c>
      <c r="C2170" t="inlineStr">
        <is>
          <t>I don't always walk sometimes I drive</t>
        </is>
      </c>
      <c r="D2170">
        <f>HYPERLINK("https://www.youtube.com/watch?v=a_GzwxEahDs&amp;t=391s", "Go to time")</f>
        <v/>
      </c>
    </row>
    <row r="2171">
      <c r="A2171">
        <f>HYPERLINK("https://www.youtube.com/watch?v=wN-sD6QesLs", "Video")</f>
        <v/>
      </c>
      <c r="B2171" t="inlineStr">
        <is>
          <t>18:21</t>
        </is>
      </c>
      <c r="C2171" t="inlineStr">
        <is>
          <t>get these guys hammered so you can drive</t>
        </is>
      </c>
      <c r="D2171">
        <f>HYPERLINK("https://www.youtube.com/watch?v=wN-sD6QesLs&amp;t=1101s", "Go to time")</f>
        <v/>
      </c>
    </row>
    <row r="2172">
      <c r="A2172">
        <f>HYPERLINK("https://www.youtube.com/watch?v=06Lz1GQPYOM", "Video")</f>
        <v/>
      </c>
      <c r="B2172" t="inlineStr">
        <is>
          <t>17:31</t>
        </is>
      </c>
      <c r="C2172" t="inlineStr">
        <is>
          <t>it in my client's apartment to drive him</t>
        </is>
      </c>
      <c r="D2172">
        <f>HYPERLINK("https://www.youtube.com/watch?v=06Lz1GQPYOM&amp;t=1051s", "Go to time")</f>
        <v/>
      </c>
    </row>
    <row r="2173">
      <c r="A2173">
        <f>HYPERLINK("https://www.youtube.com/watch?v=Jm0W1jPSgis", "Video")</f>
        <v/>
      </c>
      <c r="B2173" t="inlineStr">
        <is>
          <t>3:00</t>
        </is>
      </c>
      <c r="C2173" t="inlineStr">
        <is>
          <t>tell me I can drive this better for $250</t>
        </is>
      </c>
      <c r="D2173">
        <f>HYPERLINK("https://www.youtube.com/watch?v=Jm0W1jPSgis&amp;t=180s", "Go to time")</f>
        <v/>
      </c>
    </row>
    <row r="2174">
      <c r="A2174">
        <f>HYPERLINK("https://www.youtube.com/watch?v=LxeLIt2-6Ew", "Video")</f>
        <v/>
      </c>
      <c r="B2174" t="inlineStr">
        <is>
          <t>5:50</t>
        </is>
      </c>
      <c r="C2174" t="inlineStr">
        <is>
          <t>I'm gonna win twice I get to drive a</t>
        </is>
      </c>
      <c r="D2174">
        <f>HYPERLINK("https://www.youtube.com/watch?v=LxeLIt2-6Ew&amp;t=350s", "Go to time")</f>
        <v/>
      </c>
    </row>
    <row r="2175">
      <c r="A2175">
        <f>HYPERLINK("https://www.youtube.com/watch?v=9Biyt6SBaNg", "Video")</f>
        <v/>
      </c>
      <c r="B2175" t="inlineStr">
        <is>
          <t>3:45</t>
        </is>
      </c>
      <c r="C2175" t="inlineStr">
        <is>
          <t>you it was a yah drive would that mean</t>
        </is>
      </c>
      <c r="D2175">
        <f>HYPERLINK("https://www.youtube.com/watch?v=9Biyt6SBaNg&amp;t=225s", "Go to time")</f>
        <v/>
      </c>
    </row>
    <row r="2176">
      <c r="A2176">
        <f>HYPERLINK("https://www.youtube.com/watch?v=9Biyt6SBaNg", "Video")</f>
        <v/>
      </c>
      <c r="B2176" t="inlineStr">
        <is>
          <t>3:48</t>
        </is>
      </c>
      <c r="C2176" t="inlineStr">
        <is>
          <t>you a yah drive keeps the rotor facing</t>
        </is>
      </c>
      <c r="D2176">
        <f>HYPERLINK("https://www.youtube.com/watch?v=9Biyt6SBaNg&amp;t=228s", "Go to time")</f>
        <v/>
      </c>
    </row>
    <row r="2177">
      <c r="A2177">
        <f>HYPERLINK("https://www.youtube.com/watch?v=9Biyt6SBaNg", "Video")</f>
        <v/>
      </c>
      <c r="B2177" t="inlineStr">
        <is>
          <t>4:29</t>
        </is>
      </c>
      <c r="C2177" t="inlineStr">
        <is>
          <t>drive and a carburetor is the man for</t>
        </is>
      </c>
      <c r="D2177">
        <f>HYPERLINK("https://www.youtube.com/watch?v=9Biyt6SBaNg&amp;t=269s", "Go to time")</f>
        <v/>
      </c>
    </row>
    <row r="2178">
      <c r="A2178">
        <f>HYPERLINK("https://www.youtube.com/watch?v=-dfvdKf-KR0", "Video")</f>
        <v/>
      </c>
      <c r="B2178" t="inlineStr">
        <is>
          <t>40:26</t>
        </is>
      </c>
      <c r="C2178" t="inlineStr">
        <is>
          <t>much I can always have rid Drive I like</t>
        </is>
      </c>
      <c r="D2178">
        <f>HYPERLINK("https://www.youtube.com/watch?v=-dfvdKf-KR0&amp;t=2426s", "Go to time")</f>
        <v/>
      </c>
    </row>
    <row r="2179">
      <c r="A2179">
        <f>HYPERLINK("https://www.youtube.com/watch?v=8ZxCsVadkiQ", "Video")</f>
        <v/>
      </c>
      <c r="B2179" t="inlineStr">
        <is>
          <t>8:43</t>
        </is>
      </c>
      <c r="C2179" t="inlineStr">
        <is>
          <t>okay you drive a hard bargain Junior</t>
        </is>
      </c>
      <c r="D2179">
        <f>HYPERLINK("https://www.youtube.com/watch?v=8ZxCsVadkiQ&amp;t=523s", "Go to time")</f>
        <v/>
      </c>
    </row>
    <row r="2180">
      <c r="A2180">
        <f>HYPERLINK("https://www.youtube.com/watch?v=AJvI2kCzJqk", "Video")</f>
        <v/>
      </c>
      <c r="B2180" t="inlineStr">
        <is>
          <t>4:05</t>
        </is>
      </c>
      <c r="C2180" t="inlineStr">
        <is>
          <t>to drive her into the ground</t>
        </is>
      </c>
      <c r="D2180">
        <f>HYPERLINK("https://www.youtube.com/watch?v=AJvI2kCzJqk&amp;t=245s", "Go to time")</f>
        <v/>
      </c>
    </row>
    <row r="2181">
      <c r="A2181">
        <f>HYPERLINK("https://www.youtube.com/watch?v=z_fHDIzPpOE", "Video")</f>
        <v/>
      </c>
      <c r="B2181" t="inlineStr">
        <is>
          <t>7:02</t>
        </is>
      </c>
      <c r="C2181" t="inlineStr">
        <is>
          <t>can drive this better for $250 million</t>
        </is>
      </c>
      <c r="D2181">
        <f>HYPERLINK("https://www.youtube.com/watch?v=z_fHDIzPpOE&amp;t=422s", "Go to time")</f>
        <v/>
      </c>
    </row>
    <row r="2182">
      <c r="A2182">
        <f>HYPERLINK("https://www.youtube.com/watch?v=8cr81HTMs_w", "Video")</f>
        <v/>
      </c>
      <c r="B2182" t="inlineStr">
        <is>
          <t>14:05</t>
        </is>
      </c>
      <c r="C2182" t="inlineStr">
        <is>
          <t>focused you really only drive 65 in a</t>
        </is>
      </c>
      <c r="D2182">
        <f>HYPERLINK("https://www.youtube.com/watch?v=8cr81HTMs_w&amp;t=845s", "Go to time")</f>
        <v/>
      </c>
    </row>
    <row r="2183">
      <c r="A2183">
        <f>HYPERLINK("https://www.youtube.com/watch?v=MNeEFaDWRs8", "Video")</f>
        <v/>
      </c>
      <c r="B2183" t="inlineStr">
        <is>
          <t>1:35</t>
        </is>
      </c>
      <c r="C2183" t="inlineStr">
        <is>
          <t>gonna drive lewis crazy</t>
        </is>
      </c>
      <c r="D2183">
        <f>HYPERLINK("https://www.youtube.com/watch?v=MNeEFaDWRs8&amp;t=95s", "Go to time")</f>
        <v/>
      </c>
    </row>
    <row r="2184">
      <c r="A2184">
        <f>HYPERLINK("https://www.youtube.com/watch?v=CJtu_4CpRvM", "Video")</f>
        <v/>
      </c>
      <c r="B2184" t="inlineStr">
        <is>
          <t>10:54</t>
        </is>
      </c>
      <c r="C2184" t="inlineStr">
        <is>
          <t>walk sometimes I drive fast and it's</t>
        </is>
      </c>
      <c r="D2184">
        <f>HYPERLINK("https://www.youtube.com/watch?v=CJtu_4CpRvM&amp;t=654s", "Go to time")</f>
        <v/>
      </c>
    </row>
    <row r="2185">
      <c r="A2185">
        <f>HYPERLINK("https://www.youtube.com/watch?v=CJtu_4CpRvM", "Video")</f>
        <v/>
      </c>
      <c r="B2185" t="inlineStr">
        <is>
          <t>19:59</t>
        </is>
      </c>
      <c r="C2185" t="inlineStr">
        <is>
          <t>exactly a 3-hour and 20-minute drive</t>
        </is>
      </c>
      <c r="D2185">
        <f>HYPERLINK("https://www.youtube.com/watch?v=CJtu_4CpRvM&amp;t=1199s", "Go to time")</f>
        <v/>
      </c>
    </row>
    <row r="2186">
      <c r="A2186">
        <f>HYPERLINK("https://www.youtube.com/watch?v=CJtu_4CpRvM", "Video")</f>
        <v/>
      </c>
      <c r="B2186" t="inlineStr">
        <is>
          <t>20:02</t>
        </is>
      </c>
      <c r="C2186" t="inlineStr">
        <is>
          <t>drive every day no I only went up for</t>
        </is>
      </c>
      <c r="D2186">
        <f>HYPERLINK("https://www.youtube.com/watch?v=CJtu_4CpRvM&amp;t=1202s", "Go to time")</f>
        <v/>
      </c>
    </row>
    <row r="2187">
      <c r="A2187">
        <f>HYPERLINK("https://www.youtube.com/watch?v=YOw-CnGnw3o", "Video")</f>
        <v/>
      </c>
      <c r="B2187" t="inlineStr">
        <is>
          <t>0:16</t>
        </is>
      </c>
      <c r="C2187" t="inlineStr">
        <is>
          <t>of the work that drives me</t>
        </is>
      </c>
      <c r="D2187">
        <f>HYPERLINK("https://www.youtube.com/watch?v=YOw-CnGnw3o&amp;t=16s", "Go to time")</f>
        <v/>
      </c>
    </row>
    <row r="2188">
      <c r="A2188">
        <f>HYPERLINK("https://www.youtube.com/watch?v=wBx4wIUHrbE", "Video")</f>
        <v/>
      </c>
      <c r="B2188" t="inlineStr">
        <is>
          <t>3:59</t>
        </is>
      </c>
      <c r="C2188" t="inlineStr">
        <is>
          <t>they drive me away thought they're going</t>
        </is>
      </c>
      <c r="D2188">
        <f>HYPERLINK("https://www.youtube.com/watch?v=wBx4wIUHrbE&amp;t=239s", "Go to time")</f>
        <v/>
      </c>
    </row>
    <row r="2189">
      <c r="A2189">
        <f>HYPERLINK("https://www.youtube.com/watch?v=ayF0xMAdkOw", "Video")</f>
        <v/>
      </c>
      <c r="B2189" t="inlineStr">
        <is>
          <t>4:50</t>
        </is>
      </c>
      <c r="C2189" t="inlineStr">
        <is>
          <t>exactly a three hour and 20 minute drive</t>
        </is>
      </c>
      <c r="D2189">
        <f>HYPERLINK("https://www.youtube.com/watch?v=ayF0xMAdkOw&amp;t=290s", "Go to time")</f>
        <v/>
      </c>
    </row>
    <row r="2190">
      <c r="A2190">
        <f>HYPERLINK("https://www.youtube.com/watch?v=ayF0xMAdkOw", "Video")</f>
        <v/>
      </c>
      <c r="B2190" t="inlineStr">
        <is>
          <t>4:53</t>
        </is>
      </c>
      <c r="C2190" t="inlineStr">
        <is>
          <t>drive every day no I only went up for</t>
        </is>
      </c>
      <c r="D2190">
        <f>HYPERLINK("https://www.youtube.com/watch?v=ayF0xMAdkOw&amp;t=293s", "Go to time")</f>
        <v/>
      </c>
    </row>
    <row r="2191">
      <c r="A2191">
        <f>HYPERLINK("https://www.youtube.com/watch?v=rpJDXjkzqmA", "Video")</f>
        <v/>
      </c>
      <c r="B2191" t="inlineStr">
        <is>
          <t>0:00</t>
        </is>
      </c>
      <c r="C2191" t="inlineStr">
        <is>
          <t>this is ridiculous you drive like a</t>
        </is>
      </c>
      <c r="D2191">
        <f>HYPERLINK("https://www.youtube.com/watch?v=rpJDXjkzqmA&amp;t=0s", "Go to time")</f>
        <v/>
      </c>
    </row>
    <row r="2192">
      <c r="A2192">
        <f>HYPERLINK("https://www.youtube.com/watch?v=rpJDXjkzqmA", "Video")</f>
        <v/>
      </c>
      <c r="B2192" t="inlineStr">
        <is>
          <t>0:29</t>
        </is>
      </c>
      <c r="C2192" t="inlineStr">
        <is>
          <t>know how to drive</t>
        </is>
      </c>
      <c r="D2192">
        <f>HYPERLINK("https://www.youtube.com/watch?v=rpJDXjkzqmA&amp;t=29s", "Go to time")</f>
        <v/>
      </c>
    </row>
    <row r="2193">
      <c r="A2193">
        <f>HYPERLINK("https://www.youtube.com/watch?v=rpJDXjkzqmA", "Video")</f>
        <v/>
      </c>
      <c r="B2193" t="inlineStr">
        <is>
          <t>1:20</t>
        </is>
      </c>
      <c r="C2193" t="inlineStr">
        <is>
          <t>for because he never learned to drive</t>
        </is>
      </c>
      <c r="D2193">
        <f>HYPERLINK("https://www.youtube.com/watch?v=rpJDXjkzqmA&amp;t=80s", "Go to time")</f>
        <v/>
      </c>
    </row>
    <row r="2194">
      <c r="A2194">
        <f>HYPERLINK("https://www.youtube.com/watch?v=rpJDXjkzqmA", "Video")</f>
        <v/>
      </c>
      <c r="B2194" t="inlineStr">
        <is>
          <t>3:35</t>
        </is>
      </c>
      <c r="C2194" t="inlineStr">
        <is>
          <t>I never learned to drive for the same</t>
        </is>
      </c>
      <c r="D2194">
        <f>HYPERLINK("https://www.youtube.com/watch?v=rpJDXjkzqmA&amp;t=215s", "Go to time")</f>
        <v/>
      </c>
    </row>
    <row r="2195">
      <c r="A2195">
        <f>HYPERLINK("https://www.youtube.com/watch?v=iEVNARH_kS8", "Video")</f>
        <v/>
      </c>
      <c r="B2195" t="inlineStr">
        <is>
          <t>3:11</t>
        </is>
      </c>
      <c r="C2195" t="inlineStr">
        <is>
          <t>you'll drive however away all by</t>
        </is>
      </c>
      <c r="D2195">
        <f>HYPERLINK("https://www.youtube.com/watch?v=iEVNARH_kS8&amp;t=191s", "Go to time")</f>
        <v/>
      </c>
    </row>
    <row r="2196">
      <c r="A2196">
        <f>HYPERLINK("https://www.youtube.com/watch?v=wjbXpSlWubM", "Video")</f>
        <v/>
      </c>
      <c r="B2196" t="inlineStr">
        <is>
          <t>1:26</t>
        </is>
      </c>
      <c r="C2196" t="inlineStr">
        <is>
          <t>of dollars that's why i drive a subaru</t>
        </is>
      </c>
      <c r="D2196">
        <f>HYPERLINK("https://www.youtube.com/watch?v=wjbXpSlWubM&amp;t=86s", "Go to time")</f>
        <v/>
      </c>
    </row>
    <row r="2197">
      <c r="A2197">
        <f>HYPERLINK("https://www.youtube.com/watch?v=O6XeJQ7Eqaw", "Video")</f>
        <v/>
      </c>
      <c r="B2197" t="inlineStr">
        <is>
          <t>1:10</t>
        </is>
      </c>
      <c r="C2197" t="inlineStr">
        <is>
          <t>client is a widow not a drunk driver oh</t>
        </is>
      </c>
      <c r="D2197">
        <f>HYPERLINK("https://www.youtube.com/watch?v=O6XeJQ7Eqaw&amp;t=70s", "Go to time")</f>
        <v/>
      </c>
    </row>
    <row r="2198">
      <c r="A2198">
        <f>HYPERLINK("https://www.youtube.com/watch?v=l3lYUcBSTPo", "Video")</f>
        <v/>
      </c>
      <c r="B2198" t="inlineStr">
        <is>
          <t>2:25</t>
        </is>
      </c>
      <c r="C2198" t="inlineStr">
        <is>
          <t>drive off a cliff isn't going to do [ __ ]</t>
        </is>
      </c>
      <c r="D2198">
        <f>HYPERLINK("https://www.youtube.com/watch?v=l3lYUcBSTPo&amp;t=145s", "Go to time")</f>
        <v/>
      </c>
    </row>
    <row r="2199">
      <c r="A2199">
        <f>HYPERLINK("https://www.youtube.com/watch?v=s7Qq1wzAhp0", "Video")</f>
        <v/>
      </c>
      <c r="B2199" t="inlineStr">
        <is>
          <t>3:32</t>
        </is>
      </c>
      <c r="C2199" t="inlineStr">
        <is>
          <t>i don't always walk sometimes i drive</t>
        </is>
      </c>
      <c r="D2199">
        <f>HYPERLINK("https://www.youtube.com/watch?v=s7Qq1wzAhp0&amp;t=212s", "Go to time")</f>
        <v/>
      </c>
    </row>
    <row r="2200">
      <c r="A2200">
        <f>HYPERLINK("https://www.youtube.com/watch?v=oXzTUjDfguA", "Video")</f>
        <v/>
      </c>
      <c r="B2200" t="inlineStr">
        <is>
          <t>2:05</t>
        </is>
      </c>
      <c r="C2200" t="inlineStr">
        <is>
          <t>hanging him out to drive i'm not saying</t>
        </is>
      </c>
      <c r="D2200">
        <f>HYPERLINK("https://www.youtube.com/watch?v=oXzTUjDfguA&amp;t=125s", "Go to time")</f>
        <v/>
      </c>
    </row>
    <row r="2201">
      <c r="A2201">
        <f>HYPERLINK("https://www.youtube.com/watch?v=WMz_OIgFs_w", "Video")</f>
        <v/>
      </c>
      <c r="B2201" t="inlineStr">
        <is>
          <t>4:44</t>
        </is>
      </c>
      <c r="C2201" t="inlineStr">
        <is>
          <t>guy's doing this to drive down someone's</t>
        </is>
      </c>
      <c r="D2201">
        <f>HYPERLINK("https://www.youtube.com/watch?v=WMz_OIgFs_w&amp;t=284s", "Go to time")</f>
        <v/>
      </c>
    </row>
    <row r="2202">
      <c r="A2202">
        <f>HYPERLINK("https://www.youtube.com/watch?v=VLi2JdFEKJY", "Video")</f>
        <v/>
      </c>
      <c r="B2202" t="inlineStr">
        <is>
          <t>18:13</t>
        </is>
      </c>
      <c r="C2202" t="inlineStr">
        <is>
          <t>today Jesus Christ you know you drive</t>
        </is>
      </c>
      <c r="D2202">
        <f>HYPERLINK("https://www.youtube.com/watch?v=VLi2JdFEKJY&amp;t=1093s", "Go to time")</f>
        <v/>
      </c>
    </row>
    <row r="2203">
      <c r="A2203">
        <f>HYPERLINK("https://www.youtube.com/watch?v=VLi2JdFEKJY", "Video")</f>
        <v/>
      </c>
      <c r="B2203" t="inlineStr">
        <is>
          <t>18:15</t>
        </is>
      </c>
      <c r="C2203" t="inlineStr">
        <is>
          <t>like myana he drives like my nana and</t>
        </is>
      </c>
      <c r="D2203">
        <f>HYPERLINK("https://www.youtube.com/watch?v=VLi2JdFEKJY&amp;t=1095s", "Go to time")</f>
        <v/>
      </c>
    </row>
    <row r="2204">
      <c r="A2204">
        <f>HYPERLINK("https://www.youtube.com/watch?v=VLi2JdFEKJY", "Video")</f>
        <v/>
      </c>
      <c r="B2204" t="inlineStr">
        <is>
          <t>18:44</t>
        </is>
      </c>
      <c r="C2204" t="inlineStr">
        <is>
          <t>Ray drives a little goddamn faster</t>
        </is>
      </c>
      <c r="D2204">
        <f>HYPERLINK("https://www.youtube.com/watch?v=VLi2JdFEKJY&amp;t=1124s", "Go to time")</f>
        <v/>
      </c>
    </row>
    <row r="2205">
      <c r="A2205">
        <f>HYPERLINK("https://www.youtube.com/watch?v=7Id9SAXU-4k", "Video")</f>
        <v/>
      </c>
      <c r="B2205" t="inlineStr">
        <is>
          <t>4:31</t>
        </is>
      </c>
      <c r="C2205" t="inlineStr">
        <is>
          <t>what about your case from 1992 driver</t>
        </is>
      </c>
      <c r="D2205">
        <f>HYPERLINK("https://www.youtube.com/watch?v=7Id9SAXU-4k&amp;t=271s", "Go to time")</f>
        <v/>
      </c>
    </row>
    <row r="2206">
      <c r="A2206">
        <f>HYPERLINK("https://www.youtube.com/watch?v=0NV1KdWRHck", "Video")</f>
        <v/>
      </c>
      <c r="B2206" t="inlineStr">
        <is>
          <t>2:10</t>
        </is>
      </c>
      <c r="C2206" t="inlineStr">
        <is>
          <t>and I remember the driver of a neighbor
who was driving us to the hospital.</t>
        </is>
      </c>
      <c r="D2206">
        <f>HYPERLINK("https://www.youtube.com/watch?v=0NV1KdWRHck&amp;t=130s", "Go to time")</f>
        <v/>
      </c>
    </row>
    <row r="2207">
      <c r="A2207">
        <f>HYPERLINK("https://www.youtube.com/watch?v=0NV1KdWRHck", "Video")</f>
        <v/>
      </c>
      <c r="B2207" t="inlineStr">
        <is>
          <t>2:33</t>
        </is>
      </c>
      <c r="C2207" t="inlineStr">
        <is>
          <t>"Son, when did you learn to drive?"</t>
        </is>
      </c>
      <c r="D2207">
        <f>HYPERLINK("https://www.youtube.com/watch?v=0NV1KdWRHck&amp;t=153s", "Go to time")</f>
        <v/>
      </c>
    </row>
    <row r="2208">
      <c r="A2208">
        <f>HYPERLINK("https://www.youtube.com/watch?v=jmQWOPDqxWA", "Video")</f>
        <v/>
      </c>
      <c r="B2208" t="inlineStr">
        <is>
          <t>35:42</t>
        </is>
      </c>
      <c r="C2208" t="inlineStr">
        <is>
          <t>that drives that risk,</t>
        </is>
      </c>
      <c r="D2208">
        <f>HYPERLINK("https://www.youtube.com/watch?v=jmQWOPDqxWA&amp;t=2142s", "Go to time")</f>
        <v/>
      </c>
    </row>
    <row r="2209">
      <c r="A2209">
        <f>HYPERLINK("https://www.youtube.com/watch?v=lR_WNPGVENU", "Video")</f>
        <v/>
      </c>
      <c r="B2209" t="inlineStr">
        <is>
          <t>1:59</t>
        </is>
      </c>
      <c r="C2209" t="inlineStr">
        <is>
          <t>for things like conveyor belts,
robots, drives and so on.</t>
        </is>
      </c>
      <c r="D2209">
        <f>HYPERLINK("https://www.youtube.com/watch?v=lR_WNPGVENU&amp;t=119s", "Go to time")</f>
        <v/>
      </c>
    </row>
    <row r="2210">
      <c r="A2210">
        <f>HYPERLINK("https://www.youtube.com/watch?v=P_Z5MhlprRE", "Video")</f>
        <v/>
      </c>
      <c r="B2210" t="inlineStr">
        <is>
          <t>0:51</t>
        </is>
      </c>
      <c r="C2210" t="inlineStr">
        <is>
          <t>It takes 10 and a half hours to drive
across my district at 80 miles an hour,</t>
        </is>
      </c>
      <c r="D2210">
        <f>HYPERLINK("https://www.youtube.com/watch?v=P_Z5MhlprRE&amp;t=51s", "Go to time")</f>
        <v/>
      </c>
    </row>
    <row r="2211">
      <c r="A2211">
        <f>HYPERLINK("https://www.youtube.com/watch?v=pVZzgzYZdCA", "Video")</f>
        <v/>
      </c>
      <c r="B2211" t="inlineStr">
        <is>
          <t>3:33</t>
        </is>
      </c>
      <c r="C2211" t="inlineStr">
        <is>
          <t>you know drive my parents Crazy by being</t>
        </is>
      </c>
      <c r="D2211">
        <f>HYPERLINK("https://www.youtube.com/watch?v=pVZzgzYZdCA&amp;t=213s", "Go to time")</f>
        <v/>
      </c>
    </row>
    <row r="2212">
      <c r="A2212">
        <f>HYPERLINK("https://www.youtube.com/watch?v=2LC4YFenynI", "Video")</f>
        <v/>
      </c>
      <c r="B2212" t="inlineStr">
        <is>
          <t>1:22</t>
        </is>
      </c>
      <c r="C2212" t="inlineStr">
        <is>
          <t>teachers have also been
organizing food drives</t>
        </is>
      </c>
      <c r="D2212">
        <f>HYPERLINK("https://www.youtube.com/watch?v=2LC4YFenynI&amp;t=82s", "Go to time")</f>
        <v/>
      </c>
    </row>
    <row r="2213">
      <c r="A2213">
        <f>HYPERLINK("https://www.youtube.com/watch?v=d0a0eXJ5TJM", "Video")</f>
        <v/>
      </c>
      <c r="B2213" t="inlineStr">
        <is>
          <t>3:12</t>
        </is>
      </c>
      <c r="C2213" t="inlineStr">
        <is>
          <t>right down to she was a single
mom driven to trade,</t>
        </is>
      </c>
      <c r="D2213">
        <f>HYPERLINK("https://www.youtube.com/watch?v=d0a0eXJ5TJM&amp;t=192s", "Go to time")</f>
        <v/>
      </c>
    </row>
    <row r="2214">
      <c r="A2214">
        <f>HYPERLINK("https://www.youtube.com/watch?v=_pQ1BCdSTTI", "Video")</f>
        <v/>
      </c>
      <c r="B2214" t="inlineStr">
        <is>
          <t>0:37</t>
        </is>
      </c>
      <c r="C2214" t="inlineStr">
        <is>
          <t>is driven by the motivations
of mass-produced commodities?</t>
        </is>
      </c>
      <c r="D2214">
        <f>HYPERLINK("https://www.youtube.com/watch?v=_pQ1BCdSTTI&amp;t=37s", "Go to time")</f>
        <v/>
      </c>
    </row>
    <row r="2215">
      <c r="A2215">
        <f>HYPERLINK("https://www.youtube.com/watch?v=_pQ1BCdSTTI", "Video")</f>
        <v/>
      </c>
      <c r="B2215" t="inlineStr">
        <is>
          <t>2:22</t>
        </is>
      </c>
      <c r="C2215" t="inlineStr">
        <is>
          <t>but for more emotionally driven output.</t>
        </is>
      </c>
      <c r="D2215">
        <f>HYPERLINK("https://www.youtube.com/watch?v=_pQ1BCdSTTI&amp;t=142s", "Go to time")</f>
        <v/>
      </c>
    </row>
    <row r="2216">
      <c r="A2216">
        <f>HYPERLINK("https://www.youtube.com/watch?v=I1ouTj1BQec", "Video")</f>
        <v/>
      </c>
      <c r="B2216" t="inlineStr">
        <is>
          <t>10:15</t>
        </is>
      </c>
      <c r="C2216" t="inlineStr">
        <is>
          <t>Here's the second driver: creativity.</t>
        </is>
      </c>
      <c r="D2216">
        <f>HYPERLINK("https://www.youtube.com/watch?v=I1ouTj1BQec&amp;t=615s", "Go to time")</f>
        <v/>
      </c>
    </row>
    <row r="2217">
      <c r="A2217">
        <f>HYPERLINK("https://www.youtube.com/watch?v=I1ouTj1BQec", "Video")</f>
        <v/>
      </c>
      <c r="B2217" t="inlineStr">
        <is>
          <t>11:25</t>
        </is>
      </c>
      <c r="C2217" t="inlineStr">
        <is>
          <t>Here's the third driver: courage.</t>
        </is>
      </c>
      <c r="D2217">
        <f>HYPERLINK("https://www.youtube.com/watch?v=I1ouTj1BQec&amp;t=685s", "Go to time")</f>
        <v/>
      </c>
    </row>
    <row r="2218">
      <c r="A2218">
        <f>HYPERLINK("https://www.youtube.com/watch?v=eaCrsBtiYA4", "Video")</f>
        <v/>
      </c>
      <c r="B2218" t="inlineStr">
        <is>
          <t>3:36</t>
        </is>
      </c>
      <c r="C2218" t="inlineStr">
        <is>
          <t>Driven by this question,</t>
        </is>
      </c>
      <c r="D2218">
        <f>HYPERLINK("https://www.youtube.com/watch?v=eaCrsBtiYA4&amp;t=216s", "Go to time")</f>
        <v/>
      </c>
    </row>
    <row r="2219">
      <c r="A2219">
        <f>HYPERLINK("https://www.youtube.com/watch?v=OEydHbngSz0", "Video")</f>
        <v/>
      </c>
      <c r="B2219" t="inlineStr">
        <is>
          <t>0:22</t>
        </is>
      </c>
      <c r="C2219" t="inlineStr">
        <is>
          <t>I make that drive on most days,</t>
        </is>
      </c>
      <c r="D2219">
        <f>HYPERLINK("https://www.youtube.com/watch?v=OEydHbngSz0&amp;t=22s", "Go to time")</f>
        <v/>
      </c>
    </row>
    <row r="2220">
      <c r="A2220">
        <f>HYPERLINK("https://www.youtube.com/watch?v=xRL2vVAa47I", "Video")</f>
        <v/>
      </c>
      <c r="B2220" t="inlineStr">
        <is>
          <t>7:45</t>
        </is>
      </c>
      <c r="C2220" t="inlineStr">
        <is>
          <t>the shareholder-driven thing to do,</t>
        </is>
      </c>
      <c r="D2220">
        <f>HYPERLINK("https://www.youtube.com/watch?v=xRL2vVAa47I&amp;t=465s", "Go to time")</f>
        <v/>
      </c>
    </row>
    <row r="2221">
      <c r="A2221">
        <f>HYPERLINK("https://www.youtube.com/watch?v=eMiPKpXbm9A", "Video")</f>
        <v/>
      </c>
      <c r="B2221" t="inlineStr">
        <is>
          <t>1:30</t>
        </is>
      </c>
      <c r="C2221" t="inlineStr">
        <is>
          <t>that's already in place
to drive down costs and timelines.</t>
        </is>
      </c>
      <c r="D2221">
        <f>HYPERLINK("https://www.youtube.com/watch?v=eMiPKpXbm9A&amp;t=90s", "Go to time")</f>
        <v/>
      </c>
    </row>
    <row r="2222">
      <c r="A2222">
        <f>HYPERLINK("https://www.youtube.com/watch?v=eMiPKpXbm9A", "Video")</f>
        <v/>
      </c>
      <c r="B2222" t="inlineStr">
        <is>
          <t>2:18</t>
        </is>
      </c>
      <c r="C2222" t="inlineStr">
        <is>
          <t>is to actually drive the CO2
out of that limestone.</t>
        </is>
      </c>
      <c r="D2222">
        <f>HYPERLINK("https://www.youtube.com/watch?v=eMiPKpXbm9A&amp;t=138s", "Go to time")</f>
        <v/>
      </c>
    </row>
    <row r="2223">
      <c r="A2223">
        <f>HYPERLINK("https://www.youtube.com/watch?v=CyGWML6cI_k", "Video")</f>
        <v/>
      </c>
      <c r="B2223" t="inlineStr">
        <is>
          <t>5:13</t>
        </is>
      </c>
      <c r="C2223" t="inlineStr">
        <is>
          <t>that shows the factory
that manufactures solid state drives.</t>
        </is>
      </c>
      <c r="D2223">
        <f>HYPERLINK("https://www.youtube.com/watch?v=CyGWML6cI_k&amp;t=313s", "Go to time")</f>
        <v/>
      </c>
    </row>
    <row r="2224">
      <c r="A2224">
        <f>HYPERLINK("https://www.youtube.com/watch?v=CyGWML6cI_k", "Video")</f>
        <v/>
      </c>
      <c r="B2224" t="inlineStr">
        <is>
          <t>7:26</t>
        </is>
      </c>
      <c r="C2224" t="inlineStr">
        <is>
          <t>to choose the way that we're going
to drive to a certain location,</t>
        </is>
      </c>
      <c r="D2224">
        <f>HYPERLINK("https://www.youtube.com/watch?v=CyGWML6cI_k&amp;t=446s", "Go to time")</f>
        <v/>
      </c>
    </row>
    <row r="2225">
      <c r="A2225">
        <f>HYPERLINK("https://www.youtube.com/watch?v=nO69Njad-ec", "Video")</f>
        <v/>
      </c>
      <c r="B2225" t="inlineStr">
        <is>
          <t>0:58</t>
        </is>
      </c>
      <c r="C2225" t="inlineStr">
        <is>
          <t>are what drive these cancers
to go out of control.</t>
        </is>
      </c>
      <c r="D2225">
        <f>HYPERLINK("https://www.youtube.com/watch?v=nO69Njad-ec&amp;t=58s", "Go to time")</f>
        <v/>
      </c>
    </row>
    <row r="2226">
      <c r="A2226">
        <f>HYPERLINK("https://www.youtube.com/watch?v=RkoaaVo_RgU", "Video")</f>
        <v/>
      </c>
      <c r="B2226" t="inlineStr">
        <is>
          <t>0:33</t>
        </is>
      </c>
      <c r="C2226" t="inlineStr">
        <is>
          <t>transfer that into a series of hard drives</t>
        </is>
      </c>
      <c r="D2226">
        <f>HYPERLINK("https://www.youtube.com/watch?v=RkoaaVo_RgU&amp;t=33s", "Go to time")</f>
        <v/>
      </c>
    </row>
    <row r="2227">
      <c r="A2227">
        <f>HYPERLINK("https://www.youtube.com/watch?v=D1JZkmkStK8", "Video")</f>
        <v/>
      </c>
      <c r="B2227" t="inlineStr">
        <is>
          <t>17:48</t>
        </is>
      </c>
      <c r="C2227" t="inlineStr">
        <is>
          <t>happened have been driven by this desire</t>
        </is>
      </c>
      <c r="D2227">
        <f>HYPERLINK("https://www.youtube.com/watch?v=D1JZkmkStK8&amp;t=1068s", "Go to time")</f>
        <v/>
      </c>
    </row>
    <row r="2228">
      <c r="A2228">
        <f>HYPERLINK("https://www.youtube.com/watch?v=LDVyOnf0t9M", "Video")</f>
        <v/>
      </c>
      <c r="B2228" t="inlineStr">
        <is>
          <t>2:46</t>
        </is>
      </c>
      <c r="C2228" t="inlineStr">
        <is>
          <t>These storms drive me crazy.</t>
        </is>
      </c>
      <c r="D2228">
        <f>HYPERLINK("https://www.youtube.com/watch?v=LDVyOnf0t9M&amp;t=166s", "Go to time")</f>
        <v/>
      </c>
    </row>
    <row r="2229">
      <c r="A2229">
        <f>HYPERLINK("https://www.youtube.com/watch?v=fHDy7Jzp-5I", "Video")</f>
        <v/>
      </c>
      <c r="B2229" t="inlineStr">
        <is>
          <t>6:25</t>
        </is>
      </c>
      <c r="C2229" t="inlineStr">
        <is>
          <t>They're how we drive our car to work,</t>
        </is>
      </c>
      <c r="D2229">
        <f>HYPERLINK("https://www.youtube.com/watch?v=fHDy7Jzp-5I&amp;t=385s", "Go to time")</f>
        <v/>
      </c>
    </row>
    <row r="2230">
      <c r="A2230">
        <f>HYPERLINK("https://www.youtube.com/watch?v=fHDy7Jzp-5I", "Video")</f>
        <v/>
      </c>
      <c r="B2230" t="inlineStr">
        <is>
          <t>6:27</t>
        </is>
      </c>
      <c r="C2230" t="inlineStr">
        <is>
          <t>and how we look over in the next lane
and spot a dangerous driver</t>
        </is>
      </c>
      <c r="D2230">
        <f>HYPERLINK("https://www.youtube.com/watch?v=fHDy7Jzp-5I&amp;t=387s", "Go to time")</f>
        <v/>
      </c>
    </row>
    <row r="2231">
      <c r="A2231">
        <f>HYPERLINK("https://www.youtube.com/watch?v=iazvFYCU4YU", "Video")</f>
        <v/>
      </c>
      <c r="B2231" t="inlineStr">
        <is>
          <t>0:42</t>
        </is>
      </c>
      <c r="C2231" t="inlineStr">
        <is>
          <t>service driven economies depend on</t>
        </is>
      </c>
      <c r="D2231">
        <f>HYPERLINK("https://www.youtube.com/watch?v=iazvFYCU4YU&amp;t=42s", "Go to time")</f>
        <v/>
      </c>
    </row>
    <row r="2232">
      <c r="A2232">
        <f>HYPERLINK("https://www.youtube.com/watch?v=iazvFYCU4YU", "Video")</f>
        <v/>
      </c>
      <c r="B2232" t="inlineStr">
        <is>
          <t>2:50</t>
        </is>
      </c>
      <c r="C2232" t="inlineStr">
        <is>
          <t>app and seeing ten drivers nearby idling</t>
        </is>
      </c>
      <c r="D2232">
        <f>HYPERLINK("https://www.youtube.com/watch?v=iazvFYCU4YU&amp;t=170s", "Go to time")</f>
        <v/>
      </c>
    </row>
    <row r="2233">
      <c r="A2233">
        <f>HYPERLINK("https://www.youtube.com/watch?v=iazvFYCU4YU", "Video")</f>
        <v/>
      </c>
      <c r="B2233" t="inlineStr">
        <is>
          <t>14:25</t>
        </is>
      </c>
      <c r="C2233" t="inlineStr">
        <is>
          <t>service driven economies particularly</t>
        </is>
      </c>
      <c r="D2233">
        <f>HYPERLINK("https://www.youtube.com/watch?v=iazvFYCU4YU&amp;t=865s", "Go to time")</f>
        <v/>
      </c>
    </row>
    <row r="2234">
      <c r="A2234">
        <f>HYPERLINK("https://www.youtube.com/watch?v=iazvFYCU4YU", "Video")</f>
        <v/>
      </c>
      <c r="B2234" t="inlineStr">
        <is>
          <t>22:12</t>
        </is>
      </c>
      <c r="C2234" t="inlineStr">
        <is>
          <t>senior management driven by quarterly</t>
        </is>
      </c>
      <c r="D2234">
        <f>HYPERLINK("https://www.youtube.com/watch?v=iazvFYCU4YU&amp;t=1332s", "Go to time")</f>
        <v/>
      </c>
    </row>
    <row r="2235">
      <c r="A2235">
        <f>HYPERLINK("https://www.youtube.com/watch?v=iazvFYCU4YU", "Video")</f>
        <v/>
      </c>
      <c r="B2235" t="inlineStr">
        <is>
          <t>22:57</t>
        </is>
      </c>
      <c r="C2235" t="inlineStr">
        <is>
          <t>economy but we are a consumer driven</t>
        </is>
      </c>
      <c r="D2235">
        <f>HYPERLINK("https://www.youtube.com/watch?v=iazvFYCU4YU&amp;t=1377s", "Go to time")</f>
        <v/>
      </c>
    </row>
    <row r="2236">
      <c r="A2236">
        <f>HYPERLINK("https://www.youtube.com/watch?v=fjkTrdunJzA", "Video")</f>
        <v/>
      </c>
      <c r="B2236" t="inlineStr">
        <is>
          <t>4:55</t>
        </is>
      </c>
      <c r="C2236" t="inlineStr">
        <is>
          <t>I've sat down with truck drivers
to ask them about the self-driving truck,</t>
        </is>
      </c>
      <c r="D2236">
        <f>HYPERLINK("https://www.youtube.com/watch?v=fjkTrdunJzA&amp;t=295s", "Go to time")</f>
        <v/>
      </c>
    </row>
    <row r="2237">
      <c r="A2237">
        <f>HYPERLINK("https://www.youtube.com/watch?v=fjkTrdunJzA", "Video")</f>
        <v/>
      </c>
      <c r="B2237" t="inlineStr">
        <is>
          <t>7:33</t>
        </is>
      </c>
      <c r="C2237" t="inlineStr">
        <is>
          <t>We talked to truck drivers who said,</t>
        </is>
      </c>
      <c r="D2237">
        <f>HYPERLINK("https://www.youtube.com/watch?v=fjkTrdunJzA&amp;t=453s", "Go to time")</f>
        <v/>
      </c>
    </row>
    <row r="2238">
      <c r="A2238">
        <f>HYPERLINK("https://www.youtube.com/watch?v=fjkTrdunJzA", "Video")</f>
        <v/>
      </c>
      <c r="B2238" t="inlineStr">
        <is>
          <t>7:35</t>
        </is>
      </c>
      <c r="C2238" t="inlineStr">
        <is>
          <t>"I saw my cousin drive, and I got
on the open road and it was amazing.</t>
        </is>
      </c>
      <c r="D2238">
        <f>HYPERLINK("https://www.youtube.com/watch?v=fjkTrdunJzA&amp;t=455s", "Go to time")</f>
        <v/>
      </c>
    </row>
    <row r="2239">
      <c r="A2239">
        <f>HYPERLINK("https://www.youtube.com/watch?v=LsAN-TEJfN0", "Video")</f>
        <v/>
      </c>
      <c r="B2239" t="inlineStr">
        <is>
          <t>11:53</t>
        </is>
      </c>
      <c r="C2239" t="inlineStr">
        <is>
          <t>tend to drive people towards
more radical or specific content.</t>
        </is>
      </c>
      <c r="D2239">
        <f>HYPERLINK("https://www.youtube.com/watch?v=LsAN-TEJfN0&amp;t=713s", "Go to time")</f>
        <v/>
      </c>
    </row>
    <row r="2240">
      <c r="A2240">
        <f>HYPERLINK("https://www.youtube.com/watch?v=RLESBHduKBs", "Video")</f>
        <v/>
      </c>
      <c r="B2240" t="inlineStr">
        <is>
          <t>13:56</t>
        </is>
      </c>
      <c r="C2240" t="inlineStr">
        <is>
          <t>His life ended when he was struck
and killed by a drunk driver</t>
        </is>
      </c>
      <c r="D2240">
        <f>HYPERLINK("https://www.youtube.com/watch?v=RLESBHduKBs&amp;t=836s", "Go to time")</f>
        <v/>
      </c>
    </row>
    <row r="2241">
      <c r="A2241">
        <f>HYPERLINK("https://www.youtube.com/watch?v=-hRUwrRSSWE", "Video")</f>
        <v/>
      </c>
      <c r="B2241" t="inlineStr">
        <is>
          <t>4:05</t>
        </is>
      </c>
      <c r="C2241" t="inlineStr">
        <is>
          <t>yet they drive on the same passive road.</t>
        </is>
      </c>
      <c r="D2241">
        <f>HYPERLINK("https://www.youtube.com/watch?v=-hRUwrRSSWE&amp;t=245s", "Go to time")</f>
        <v/>
      </c>
    </row>
    <row r="2242">
      <c r="A2242">
        <f>HYPERLINK("https://www.youtube.com/watch?v=rmfzwwrCrrU", "Video")</f>
        <v/>
      </c>
      <c r="B2242" t="inlineStr">
        <is>
          <t>6:05</t>
        </is>
      </c>
      <c r="C2242" t="inlineStr">
        <is>
          <t>They don't drive to work,
they take their renewable-powered train.</t>
        </is>
      </c>
      <c r="D2242">
        <f>HYPERLINK("https://www.youtube.com/watch?v=rmfzwwrCrrU&amp;t=365s", "Go to time")</f>
        <v/>
      </c>
    </row>
    <row r="2243">
      <c r="A2243">
        <f>HYPERLINK("https://www.youtube.com/watch?v=8HgUHW8IoMc", "Video")</f>
        <v/>
      </c>
      <c r="B2243" t="inlineStr">
        <is>
          <t>2:08</t>
        </is>
      </c>
      <c r="C2243" t="inlineStr">
        <is>
          <t>this phase in dogs is driven by hormones.</t>
        </is>
      </c>
      <c r="D2243">
        <f>HYPERLINK("https://www.youtube.com/watch?v=8HgUHW8IoMc&amp;t=128s", "Go to time")</f>
        <v/>
      </c>
    </row>
    <row r="2244">
      <c r="A2244">
        <f>HYPERLINK("https://www.youtube.com/watch?v=Ne-1bg2Ifn4", "Video")</f>
        <v/>
      </c>
      <c r="B2244" t="inlineStr">
        <is>
          <t>6:40</t>
        </is>
      </c>
      <c r="C2244" t="inlineStr">
        <is>
          <t>Policies are the fuels
that drive transitions.</t>
        </is>
      </c>
      <c r="D2244">
        <f>HYPERLINK("https://www.youtube.com/watch?v=Ne-1bg2Ifn4&amp;t=400s", "Go to time")</f>
        <v/>
      </c>
    </row>
    <row r="2245">
      <c r="A2245">
        <f>HYPERLINK("https://www.youtube.com/watch?v=i2l9v_seHCc", "Video")</f>
        <v/>
      </c>
      <c r="B2245" t="inlineStr">
        <is>
          <t>8:12</t>
        </is>
      </c>
      <c r="C2245" t="inlineStr">
        <is>
          <t>Our company has more than 100,000 drivers</t>
        </is>
      </c>
      <c r="D2245">
        <f>HYPERLINK("https://www.youtube.com/watch?v=i2l9v_seHCc&amp;t=492s", "Go to time")</f>
        <v/>
      </c>
    </row>
    <row r="2246">
      <c r="A2246">
        <f>HYPERLINK("https://www.youtube.com/watch?v=i2l9v_seHCc", "Video")</f>
        <v/>
      </c>
      <c r="B2246" t="inlineStr">
        <is>
          <t>8:45</t>
        </is>
      </c>
      <c r="C2246" t="inlineStr">
        <is>
          <t>that we gave to our truck drivers</t>
        </is>
      </c>
      <c r="D2246">
        <f>HYPERLINK("https://www.youtube.com/watch?v=i2l9v_seHCc&amp;t=525s", "Go to time")</f>
        <v/>
      </c>
    </row>
    <row r="2247">
      <c r="A2247">
        <f>HYPERLINK("https://www.youtube.com/watch?v=i2l9v_seHCc", "Video")</f>
        <v/>
      </c>
      <c r="B2247" t="inlineStr">
        <is>
          <t>9:07</t>
        </is>
      </c>
      <c r="C2247" t="inlineStr">
        <is>
          <t>a few brave drivers admitted
they had seen these women,</t>
        </is>
      </c>
      <c r="D2247">
        <f>HYPERLINK("https://www.youtube.com/watch?v=i2l9v_seHCc&amp;t=547s", "Go to time")</f>
        <v/>
      </c>
    </row>
    <row r="2248">
      <c r="A2248">
        <f>HYPERLINK("https://www.youtube.com/watch?v=E3cK8IL0JCE", "Video")</f>
        <v/>
      </c>
      <c r="B2248" t="inlineStr">
        <is>
          <t>3:02</t>
        </is>
      </c>
      <c r="C2248" t="inlineStr">
        <is>
          <t>ISIS understands what drives people,</t>
        </is>
      </c>
      <c r="D2248">
        <f>HYPERLINK("https://www.youtube.com/watch?v=E3cK8IL0JCE&amp;t=182s", "Go to time")</f>
        <v/>
      </c>
    </row>
    <row r="2249">
      <c r="A2249">
        <f>HYPERLINK("https://www.youtube.com/watch?v=a63t8r70QN0", "Video")</f>
        <v/>
      </c>
      <c r="B2249" t="inlineStr">
        <is>
          <t>1:20</t>
        </is>
      </c>
      <c r="C2249" t="inlineStr">
        <is>
          <t>This year, the e-cigarette
market is expected to drive</t>
        </is>
      </c>
      <c r="D2249">
        <f>HYPERLINK("https://www.youtube.com/watch?v=a63t8r70QN0&amp;t=80s", "Go to time")</f>
        <v/>
      </c>
    </row>
    <row r="2250">
      <c r="A2250">
        <f>HYPERLINK("https://www.youtube.com/watch?v=D8S_LLnV3W8", "Video")</f>
        <v/>
      </c>
      <c r="B2250" t="inlineStr">
        <is>
          <t>6:57</t>
        </is>
      </c>
      <c r="C2250" t="inlineStr">
        <is>
          <t>The truck sometimes needs to drive miles
between one address and the next one.</t>
        </is>
      </c>
      <c r="D2250">
        <f>HYPERLINK("https://www.youtube.com/watch?v=D8S_LLnV3W8&amp;t=417s", "Go to time")</f>
        <v/>
      </c>
    </row>
    <row r="2251">
      <c r="A2251">
        <f>HYPERLINK("https://www.youtube.com/watch?v=D8S_LLnV3W8", "Video")</f>
        <v/>
      </c>
      <c r="B2251" t="inlineStr">
        <is>
          <t>7:14</t>
        </is>
      </c>
      <c r="C2251" t="inlineStr">
        <is>
          <t>The driver does some of the deliveries</t>
        </is>
      </c>
      <c r="D2251">
        <f>HYPERLINK("https://www.youtube.com/watch?v=D8S_LLnV3W8&amp;t=434s", "Go to time")</f>
        <v/>
      </c>
    </row>
    <row r="2252">
      <c r="A2252">
        <f>HYPERLINK("https://www.youtube.com/watch?v=iBa9EoEbb38", "Video")</f>
        <v/>
      </c>
      <c r="B2252" t="inlineStr">
        <is>
          <t>2:36</t>
        </is>
      </c>
      <c r="C2252" t="inlineStr">
        <is>
          <t>so that we can all drive
towards achieving the same thing.</t>
        </is>
      </c>
      <c r="D2252">
        <f>HYPERLINK("https://www.youtube.com/watch?v=iBa9EoEbb38&amp;t=156s", "Go to time")</f>
        <v/>
      </c>
    </row>
    <row r="2253">
      <c r="A2253">
        <f>HYPERLINK("https://www.youtube.com/watch?v=6wCml0g2mRE", "Video")</f>
        <v/>
      </c>
      <c r="B2253" t="inlineStr">
        <is>
          <t>10:29</t>
        </is>
      </c>
      <c r="C2253" t="inlineStr">
        <is>
          <t>and it's not going
to be driven by Hollywood.</t>
        </is>
      </c>
      <c r="D2253">
        <f>HYPERLINK("https://www.youtube.com/watch?v=6wCml0g2mRE&amp;t=629s", "Go to time")</f>
        <v/>
      </c>
    </row>
    <row r="2254">
      <c r="A2254">
        <f>HYPERLINK("https://www.youtube.com/watch?v=6wCml0g2mRE", "Video")</f>
        <v/>
      </c>
      <c r="B2254" t="inlineStr">
        <is>
          <t>10:31</t>
        </is>
      </c>
      <c r="C2254" t="inlineStr">
        <is>
          <t>It's going to be driven by YouTubers
and young people with great ideas</t>
        </is>
      </c>
      <c r="D2254">
        <f>HYPERLINK("https://www.youtube.com/watch?v=6wCml0g2mRE&amp;t=631s", "Go to time")</f>
        <v/>
      </c>
    </row>
    <row r="2255">
      <c r="A2255">
        <f>HYPERLINK("https://www.youtube.com/watch?v=CIlgTBmiov0", "Video")</f>
        <v/>
      </c>
      <c r="B2255" t="inlineStr">
        <is>
          <t>5:25</t>
        </is>
      </c>
      <c r="C2255" t="inlineStr">
        <is>
          <t>I spent countless hours
shooting hoops on my driveway,</t>
        </is>
      </c>
      <c r="D2255">
        <f>HYPERLINK("https://www.youtube.com/watch?v=CIlgTBmiov0&amp;t=325s", "Go to time")</f>
        <v/>
      </c>
    </row>
    <row r="2256">
      <c r="A2256">
        <f>HYPERLINK("https://www.youtube.com/watch?v=ZrdgSp-OVpM", "Video")</f>
        <v/>
      </c>
      <c r="B2256" t="inlineStr">
        <is>
          <t>2:02</t>
        </is>
      </c>
      <c r="C2256" t="inlineStr">
        <is>
          <t>Innovate to drive down the cost
of clean technologies,</t>
        </is>
      </c>
      <c r="D2256">
        <f>HYPERLINK("https://www.youtube.com/watch?v=ZrdgSp-OVpM&amp;t=122s", "Go to time")</f>
        <v/>
      </c>
    </row>
    <row r="2257">
      <c r="A2257">
        <f>HYPERLINK("https://www.youtube.com/watch?v=ZrdgSp-OVpM", "Video")</f>
        <v/>
      </c>
      <c r="B2257" t="inlineStr">
        <is>
          <t>6:18</t>
        </is>
      </c>
      <c r="C2257" t="inlineStr">
        <is>
          <t>and the cost needs to be driven down.</t>
        </is>
      </c>
      <c r="D2257">
        <f>HYPERLINK("https://www.youtube.com/watch?v=ZrdgSp-OVpM&amp;t=378s", "Go to time")</f>
        <v/>
      </c>
    </row>
    <row r="2258">
      <c r="A2258">
        <f>HYPERLINK("https://www.youtube.com/watch?v=ZrdgSp-OVpM", "Video")</f>
        <v/>
      </c>
      <c r="B2258" t="inlineStr">
        <is>
          <t>8:18</t>
        </is>
      </c>
      <c r="C2258" t="inlineStr">
        <is>
          <t>And to drive the cost down
for everyone else.</t>
        </is>
      </c>
      <c r="D2258">
        <f>HYPERLINK("https://www.youtube.com/watch?v=ZrdgSp-OVpM&amp;t=498s", "Go to time")</f>
        <v/>
      </c>
    </row>
    <row r="2259">
      <c r="A2259">
        <f>HYPERLINK("https://www.youtube.com/watch?v=hItQZfVU6-g", "Video")</f>
        <v/>
      </c>
      <c r="B2259" t="inlineStr">
        <is>
          <t>8:24</t>
        </is>
      </c>
      <c r="C2259" t="inlineStr">
        <is>
          <t>I don't think the autonomous vehicle
is exciting because it's a driverless car.</t>
        </is>
      </c>
      <c r="D2259">
        <f>HYPERLINK("https://www.youtube.com/watch?v=hItQZfVU6-g&amp;t=504s", "Go to time")</f>
        <v/>
      </c>
    </row>
    <row r="2260">
      <c r="A2260">
        <f>HYPERLINK("https://www.youtube.com/watch?v=KIh2-S2jXls", "Video")</f>
        <v/>
      </c>
      <c r="B2260" t="inlineStr">
        <is>
          <t>39:52</t>
        </is>
      </c>
      <c r="C2260" t="inlineStr">
        <is>
          <t>took a kind of top-down drive.</t>
        </is>
      </c>
      <c r="D2260">
        <f>HYPERLINK("https://www.youtube.com/watch?v=KIh2-S2jXls&amp;t=2392s", "Go to time")</f>
        <v/>
      </c>
    </row>
    <row r="2261">
      <c r="A2261">
        <f>HYPERLINK("https://www.youtube.com/watch?v=KIh2-S2jXls", "Video")</f>
        <v/>
      </c>
      <c r="B2261" t="inlineStr">
        <is>
          <t>48:30</t>
        </is>
      </c>
      <c r="C2261" t="inlineStr">
        <is>
          <t>was largely driven by this reaction
from its citizens across the internet.</t>
        </is>
      </c>
      <c r="D2261">
        <f>HYPERLINK("https://www.youtube.com/watch?v=KIh2-S2jXls&amp;t=2910s", "Go to time")</f>
        <v/>
      </c>
    </row>
    <row r="2262">
      <c r="A2262">
        <f>HYPERLINK("https://www.youtube.com/watch?v=deG_LTcAjaM", "Video")</f>
        <v/>
      </c>
      <c r="B2262" t="inlineStr">
        <is>
          <t>3:43</t>
        </is>
      </c>
      <c r="C2262" t="inlineStr">
        <is>
          <t>that is driven by the principle
of protecting civilians,</t>
        </is>
      </c>
      <c r="D2262">
        <f>HYPERLINK("https://www.youtube.com/watch?v=deG_LTcAjaM&amp;t=223s", "Go to time")</f>
        <v/>
      </c>
    </row>
    <row r="2263">
      <c r="A2263">
        <f>HYPERLINK("https://www.youtube.com/watch?v=Yilgr2SJ3xQ", "Video")</f>
        <v/>
      </c>
      <c r="B2263" t="inlineStr">
        <is>
          <t>0:48</t>
        </is>
      </c>
      <c r="C2263" t="inlineStr">
        <is>
          <t>I've driven across Zimbabwe</t>
        </is>
      </c>
      <c r="D2263">
        <f>HYPERLINK("https://www.youtube.com/watch?v=Yilgr2SJ3xQ&amp;t=48s", "Go to time")</f>
        <v/>
      </c>
    </row>
    <row r="2264">
      <c r="A2264">
        <f>HYPERLINK("https://www.youtube.com/watch?v=Yilgr2SJ3xQ", "Video")</f>
        <v/>
      </c>
      <c r="B2264" t="inlineStr">
        <is>
          <t>6:40</t>
        </is>
      </c>
      <c r="C2264" t="inlineStr">
        <is>
          <t>has been driven primarily by white men</t>
        </is>
      </c>
      <c r="D2264">
        <f>HYPERLINK("https://www.youtube.com/watch?v=Yilgr2SJ3xQ&amp;t=400s", "Go to time")</f>
        <v/>
      </c>
    </row>
    <row r="2265">
      <c r="A2265">
        <f>HYPERLINK("https://www.youtube.com/watch?v=XdqV66m7Los", "Video")</f>
        <v/>
      </c>
      <c r="B2265" t="inlineStr">
        <is>
          <t>4:36</t>
        </is>
      </c>
      <c r="C2265" t="inlineStr">
        <is>
          <t>that drives this going forward.</t>
        </is>
      </c>
      <c r="D2265">
        <f>HYPERLINK("https://www.youtube.com/watch?v=XdqV66m7Los&amp;t=276s", "Go to time")</f>
        <v/>
      </c>
    </row>
    <row r="2266">
      <c r="A2266">
        <f>HYPERLINK("https://www.youtube.com/watch?v=XdqV66m7Los", "Video")</f>
        <v/>
      </c>
      <c r="B2266" t="inlineStr">
        <is>
          <t>8:48</t>
        </is>
      </c>
      <c r="C2266" t="inlineStr">
        <is>
          <t>driven by game dynamics,</t>
        </is>
      </c>
      <c r="D2266">
        <f>HYPERLINK("https://www.youtube.com/watch?v=XdqV66m7Los&amp;t=528s", "Go to time")</f>
        <v/>
      </c>
    </row>
    <row r="2267">
      <c r="A2267">
        <f>HYPERLINK("https://www.youtube.com/watch?v=XdqV66m7Los", "Video")</f>
        <v/>
      </c>
      <c r="B2267" t="inlineStr">
        <is>
          <t>9:20</t>
        </is>
      </c>
      <c r="C2267" t="inlineStr">
        <is>
          <t>and there are Roblox games
where you can drive your car</t>
        </is>
      </c>
      <c r="D2267">
        <f>HYPERLINK("https://www.youtube.com/watch?v=XdqV66m7Los&amp;t=560s", "Go to time")</f>
        <v/>
      </c>
    </row>
    <row r="2268">
      <c r="A2268">
        <f>HYPERLINK("https://www.youtube.com/watch?v=YIgv0KMzjvk", "Video")</f>
        <v/>
      </c>
      <c r="B2268" t="inlineStr">
        <is>
          <t>0:51</t>
        </is>
      </c>
      <c r="C2268" t="inlineStr">
        <is>
          <t>Enter the African motorcycle taxi driver.</t>
        </is>
      </c>
      <c r="D2268">
        <f>HYPERLINK("https://www.youtube.com/watch?v=YIgv0KMzjvk&amp;t=51s", "Go to time")</f>
        <v/>
      </c>
    </row>
    <row r="2269">
      <c r="A2269">
        <f>HYPERLINK("https://www.youtube.com/watch?v=YIgv0KMzjvk", "Video")</f>
        <v/>
      </c>
      <c r="B2269" t="inlineStr">
        <is>
          <t>1:03</t>
        </is>
      </c>
      <c r="C2269" t="inlineStr">
        <is>
          <t>Unfortunately, these drivers
are excluded from the formal economy.</t>
        </is>
      </c>
      <c r="D2269">
        <f>HYPERLINK("https://www.youtube.com/watch?v=YIgv0KMzjvk&amp;t=63s", "Go to time")</f>
        <v/>
      </c>
    </row>
    <row r="2270">
      <c r="A2270">
        <f>HYPERLINK("https://www.youtube.com/watch?v=YIgv0KMzjvk", "Video")</f>
        <v/>
      </c>
      <c r="B2270" t="inlineStr">
        <is>
          <t>1:18</t>
        </is>
      </c>
      <c r="C2270" t="inlineStr">
        <is>
          <t>Because of this tough situation
that these drivers endure,</t>
        </is>
      </c>
      <c r="D2270">
        <f>HYPERLINK("https://www.youtube.com/watch?v=YIgv0KMzjvk&amp;t=78s", "Go to time")</f>
        <v/>
      </c>
    </row>
    <row r="2271">
      <c r="A2271">
        <f>HYPERLINK("https://www.youtube.com/watch?v=YIgv0KMzjvk", "Video")</f>
        <v/>
      </c>
      <c r="B2271" t="inlineStr">
        <is>
          <t>1:34</t>
        </is>
      </c>
      <c r="C2271" t="inlineStr">
        <is>
          <t>And also, these drivers
pollute the environment.</t>
        </is>
      </c>
      <c r="D2271">
        <f>HYPERLINK("https://www.youtube.com/watch?v=YIgv0KMzjvk&amp;t=94s", "Go to time")</f>
        <v/>
      </c>
    </row>
    <row r="2272">
      <c r="A2272">
        <f>HYPERLINK("https://www.youtube.com/watch?v=YIgv0KMzjvk", "Video")</f>
        <v/>
      </c>
      <c r="B2272" t="inlineStr">
        <is>
          <t>2:22</t>
        </is>
      </c>
      <c r="C2272" t="inlineStr">
        <is>
          <t>which provides motorcycle taxi drivers
in Africa access to electric vehicles,</t>
        </is>
      </c>
      <c r="D2272">
        <f>HYPERLINK("https://www.youtube.com/watch?v=YIgv0KMzjvk&amp;t=142s", "Go to time")</f>
        <v/>
      </c>
    </row>
    <row r="2273">
      <c r="A2273">
        <f>HYPERLINK("https://www.youtube.com/watch?v=YIgv0KMzjvk", "Video")</f>
        <v/>
      </c>
      <c r="B2273" t="inlineStr">
        <is>
          <t>2:36</t>
        </is>
      </c>
      <c r="C2273" t="inlineStr">
        <is>
          <t>Drivers sign up on the platform</t>
        </is>
      </c>
      <c r="D2273">
        <f>HYPERLINK("https://www.youtube.com/watch?v=YIgv0KMzjvk&amp;t=156s", "Go to time")</f>
        <v/>
      </c>
    </row>
    <row r="2274">
      <c r="A2274">
        <f>HYPERLINK("https://www.youtube.com/watch?v=YIgv0KMzjvk", "Video")</f>
        <v/>
      </c>
      <c r="B2274" t="inlineStr">
        <is>
          <t>3:16</t>
        </is>
      </c>
      <c r="C2274" t="inlineStr">
        <is>
          <t>The revenue from the drivers</t>
        </is>
      </c>
      <c r="D2274">
        <f>HYPERLINK("https://www.youtube.com/watch?v=YIgv0KMzjvk&amp;t=196s", "Go to time")</f>
        <v/>
      </c>
    </row>
    <row r="2275">
      <c r="A2275">
        <f>HYPERLINK("https://www.youtube.com/watch?v=YIgv0KMzjvk", "Video")</f>
        <v/>
      </c>
      <c r="B2275" t="inlineStr">
        <is>
          <t>3:29</t>
        </is>
      </c>
      <c r="C2275" t="inlineStr">
        <is>
          <t>Meet Baba Gbenro, one of our drivers.</t>
        </is>
      </c>
      <c r="D2275">
        <f>HYPERLINK("https://www.youtube.com/watch?v=YIgv0KMzjvk&amp;t=209s", "Go to time")</f>
        <v/>
      </c>
    </row>
    <row r="2276">
      <c r="A2276">
        <f>HYPERLINK("https://www.youtube.com/watch?v=YIgv0KMzjvk", "Video")</f>
        <v/>
      </c>
      <c r="B2276" t="inlineStr">
        <is>
          <t>4:17</t>
        </is>
      </c>
      <c r="C2276" t="inlineStr">
        <is>
          <t>To date, our platform has served
a network of over 15,000 drivers,</t>
        </is>
      </c>
      <c r="D2276">
        <f>HYPERLINK("https://www.youtube.com/watch?v=YIgv0KMzjvk&amp;t=257s", "Go to time")</f>
        <v/>
      </c>
    </row>
    <row r="2277">
      <c r="A2277">
        <f>HYPERLINK("https://www.youtube.com/watch?v=YIgv0KMzjvk", "Video")</f>
        <v/>
      </c>
      <c r="B2277" t="inlineStr">
        <is>
          <t>4:23</t>
        </is>
      </c>
      <c r="C2277" t="inlineStr">
        <is>
          <t>and our data shows that the average driver
has about five dependents,</t>
        </is>
      </c>
      <c r="D2277">
        <f>HYPERLINK("https://www.youtube.com/watch?v=YIgv0KMzjvk&amp;t=263s", "Go to time")</f>
        <v/>
      </c>
    </row>
    <row r="2278">
      <c r="A2278">
        <f>HYPERLINK("https://www.youtube.com/watch?v=YIgv0KMzjvk", "Video")</f>
        <v/>
      </c>
      <c r="B2278" t="inlineStr">
        <is>
          <t>4:36</t>
        </is>
      </c>
      <c r="C2278" t="inlineStr">
        <is>
          <t>to over 150,000 of drivers.</t>
        </is>
      </c>
      <c r="D2278">
        <f>HYPERLINK("https://www.youtube.com/watch?v=YIgv0KMzjvk&amp;t=276s", "Go to time")</f>
        <v/>
      </c>
    </row>
    <row r="2279">
      <c r="A2279">
        <f>HYPERLINK("https://www.youtube.com/watch?v=YIgv0KMzjvk", "Video")</f>
        <v/>
      </c>
      <c r="B2279" t="inlineStr">
        <is>
          <t>4:46</t>
        </is>
      </c>
      <c r="C2279" t="inlineStr">
        <is>
          <t>could jointly impact over 10 million
motorcycle taxi drivers.</t>
        </is>
      </c>
      <c r="D2279">
        <f>HYPERLINK("https://www.youtube.com/watch?v=YIgv0KMzjvk&amp;t=286s", "Go to time")</f>
        <v/>
      </c>
    </row>
    <row r="2280">
      <c r="A2280">
        <f>HYPERLINK("https://www.youtube.com/watch?v=Cvl2tHwuvzk", "Video")</f>
        <v/>
      </c>
      <c r="B2280" t="inlineStr">
        <is>
          <t>0:49</t>
        </is>
      </c>
      <c r="C2280" t="inlineStr">
        <is>
          <t>As a school bus driver,
Shea Cobb became the central figure</t>
        </is>
      </c>
      <c r="D2280">
        <f>HYPERLINK("https://www.youtube.com/watch?v=Cvl2tHwuvzk&amp;t=49s", "Go to time")</f>
        <v/>
      </c>
    </row>
    <row r="2281">
      <c r="A2281">
        <f>HYPERLINK("https://www.youtube.com/watch?v=bwcyXcOpWVs", "Video")</f>
        <v/>
      </c>
      <c r="B2281" t="inlineStr">
        <is>
          <t>8:58</t>
        </is>
      </c>
      <c r="C2281" t="inlineStr">
        <is>
          <t>there was a chauffeur-driven SUV
waiting to take them to Central Park</t>
        </is>
      </c>
      <c r="D2281">
        <f>HYPERLINK("https://www.youtube.com/watch?v=bwcyXcOpWVs&amp;t=538s", "Go to time")</f>
        <v/>
      </c>
    </row>
    <row r="2282">
      <c r="A2282">
        <f>HYPERLINK("https://www.youtube.com/watch?v=bwcyXcOpWVs", "Video")</f>
        <v/>
      </c>
      <c r="B2282" t="inlineStr">
        <is>
          <t>10:37</t>
        </is>
      </c>
      <c r="C2282" t="inlineStr">
        <is>
          <t>More than three quarters of our GDP
is driven by service industries.</t>
        </is>
      </c>
      <c r="D2282">
        <f>HYPERLINK("https://www.youtube.com/watch?v=bwcyXcOpWVs&amp;t=637s", "Go to time")</f>
        <v/>
      </c>
    </row>
    <row r="2283">
      <c r="A2283">
        <f>HYPERLINK("https://www.youtube.com/watch?v=urntcMUJR9M", "Video")</f>
        <v/>
      </c>
      <c r="B2283" t="inlineStr">
        <is>
          <t>1:32</t>
        </is>
      </c>
      <c r="C2283" t="inlineStr">
        <is>
          <t>your mind goes into overdrive,</t>
        </is>
      </c>
      <c r="D2283">
        <f>HYPERLINK("https://www.youtube.com/watch?v=urntcMUJR9M&amp;t=92s", "Go to time")</f>
        <v/>
      </c>
    </row>
    <row r="2284">
      <c r="A2284">
        <f>HYPERLINK("https://www.youtube.com/watch?v=urntcMUJR9M", "Video")</f>
        <v/>
      </c>
      <c r="B2284" t="inlineStr">
        <is>
          <t>6:44</t>
        </is>
      </c>
      <c r="C2284" t="inlineStr">
        <is>
          <t>initiatives to drive growth,</t>
        </is>
      </c>
      <c r="D2284">
        <f>HYPERLINK("https://www.youtube.com/watch?v=urntcMUJR9M&amp;t=404s", "Go to time")</f>
        <v/>
      </c>
    </row>
    <row r="2285">
      <c r="A2285">
        <f>HYPERLINK("https://www.youtube.com/watch?v=Qhomjw2P-V0", "Video")</f>
        <v/>
      </c>
      <c r="B2285" t="inlineStr">
        <is>
          <t>6:50</t>
        </is>
      </c>
      <c r="C2285" t="inlineStr">
        <is>
          <t>it's almost impossible to know
what drives people's behavior really.</t>
        </is>
      </c>
      <c r="D2285">
        <f>HYPERLINK("https://www.youtube.com/watch?v=Qhomjw2P-V0&amp;t=410s", "Go to time")</f>
        <v/>
      </c>
    </row>
    <row r="2286">
      <c r="A2286">
        <f>HYPERLINK("https://www.youtube.com/watch?v=MSevAi_YarQ", "Video")</f>
        <v/>
      </c>
      <c r="B2286" t="inlineStr">
        <is>
          <t>0:09</t>
        </is>
      </c>
      <c r="C2286" t="inlineStr">
        <is>
          <t>it's actually driven by a fairly
categorically organized set of variables.</t>
        </is>
      </c>
      <c r="D2286">
        <f>HYPERLINK("https://www.youtube.com/watch?v=MSevAi_YarQ&amp;t=9s", "Go to time")</f>
        <v/>
      </c>
    </row>
    <row r="2287">
      <c r="A2287">
        <f>HYPERLINK("https://www.youtube.com/watch?v=MSevAi_YarQ", "Video")</f>
        <v/>
      </c>
      <c r="B2287" t="inlineStr">
        <is>
          <t>1:02</t>
        </is>
      </c>
      <c r="C2287" t="inlineStr">
        <is>
          <t>which is actually the original
driver of where we live,</t>
        </is>
      </c>
      <c r="D2287">
        <f>HYPERLINK("https://www.youtube.com/watch?v=MSevAi_YarQ&amp;t=62s", "Go to time")</f>
        <v/>
      </c>
    </row>
    <row r="2288">
      <c r="A2288">
        <f>HYPERLINK("https://www.youtube.com/watch?v=MSevAi_YarQ", "Video")</f>
        <v/>
      </c>
      <c r="B2288" t="inlineStr">
        <is>
          <t>1:07</t>
        </is>
      </c>
      <c r="C2288" t="inlineStr">
        <is>
          <t>It was the driver of where
humans have settled</t>
        </is>
      </c>
      <c r="D2288">
        <f>HYPERLINK("https://www.youtube.com/watch?v=MSevAi_YarQ&amp;t=67s", "Go to time")</f>
        <v/>
      </c>
    </row>
    <row r="2289">
      <c r="A2289">
        <f>HYPERLINK("https://www.youtube.com/watch?v=MSevAi_YarQ", "Video")</f>
        <v/>
      </c>
      <c r="B2289" t="inlineStr">
        <is>
          <t>13:45</t>
        </is>
      </c>
      <c r="C2289" t="inlineStr">
        <is>
          <t>Because they again have had massive
shortages in nursing and truck drivers,</t>
        </is>
      </c>
      <c r="D2289">
        <f>HYPERLINK("https://www.youtube.com/watch?v=MSevAi_YarQ&amp;t=825s", "Go to time")</f>
        <v/>
      </c>
    </row>
    <row r="2290">
      <c r="A2290">
        <f>HYPERLINK("https://www.youtube.com/watch?v=3CFyHtObLXk", "Video")</f>
        <v/>
      </c>
      <c r="B2290" t="inlineStr">
        <is>
          <t>9:51</t>
        </is>
      </c>
      <c r="C2290" t="inlineStr">
        <is>
          <t>And this to me cannot be
the primary reason or driver</t>
        </is>
      </c>
      <c r="D2290">
        <f>HYPERLINK("https://www.youtube.com/watch?v=3CFyHtObLXk&amp;t=591s", "Go to time")</f>
        <v/>
      </c>
    </row>
    <row r="2291">
      <c r="A2291">
        <f>HYPERLINK("https://www.youtube.com/watch?v=EBQO5GegfPA", "Video")</f>
        <v/>
      </c>
      <c r="B2291" t="inlineStr">
        <is>
          <t>8:27</t>
        </is>
      </c>
      <c r="C2291" t="inlineStr">
        <is>
          <t>And then he hurriedly turns
his car and drives away.</t>
        </is>
      </c>
      <c r="D2291">
        <f>HYPERLINK("https://www.youtube.com/watch?v=EBQO5GegfPA&amp;t=507s", "Go to time")</f>
        <v/>
      </c>
    </row>
    <row r="2292">
      <c r="A2292">
        <f>HYPERLINK("https://www.youtube.com/watch?v=kWyQNCOow7A", "Video")</f>
        <v/>
      </c>
      <c r="B2292" t="inlineStr">
        <is>
          <t>1:48</t>
        </is>
      </c>
      <c r="C2292" t="inlineStr">
        <is>
          <t>We know that value at companies
is driven by people,</t>
        </is>
      </c>
      <c r="D2292">
        <f>HYPERLINK("https://www.youtube.com/watch?v=kWyQNCOow7A&amp;t=108s", "Go to time")</f>
        <v/>
      </c>
    </row>
    <row r="2293">
      <c r="A2293">
        <f>HYPERLINK("https://www.youtube.com/watch?v=kWyQNCOow7A", "Video")</f>
        <v/>
      </c>
      <c r="B2293" t="inlineStr">
        <is>
          <t>4:14</t>
        </is>
      </c>
      <c r="C2293" t="inlineStr">
        <is>
          <t>But that's where data-driven
impact investing can help.</t>
        </is>
      </c>
      <c r="D2293">
        <f>HYPERLINK("https://www.youtube.com/watch?v=kWyQNCOow7A&amp;t=254s", "Go to time")</f>
        <v/>
      </c>
    </row>
    <row r="2294">
      <c r="A2294">
        <f>HYPERLINK("https://www.youtube.com/watch?v=kWyQNCOow7A", "Video")</f>
        <v/>
      </c>
      <c r="B2294" t="inlineStr">
        <is>
          <t>6:15</t>
        </is>
      </c>
      <c r="C2294" t="inlineStr">
        <is>
          <t>Think about that the next time you get
rude service at the drive-thru window.</t>
        </is>
      </c>
      <c r="D2294">
        <f>HYPERLINK("https://www.youtube.com/watch?v=kWyQNCOow7A&amp;t=375s", "Go to time")</f>
        <v/>
      </c>
    </row>
    <row r="2295">
      <c r="A2295">
        <f>HYPERLINK("https://www.youtube.com/watch?v=NUFEBioLPf8", "Video")</f>
        <v/>
      </c>
      <c r="B2295" t="inlineStr">
        <is>
          <t>31:23</t>
        </is>
      </c>
      <c r="C2295" t="inlineStr">
        <is>
          <t>We think it might be that combination
is what is needed to really drive action.</t>
        </is>
      </c>
      <c r="D2295">
        <f>HYPERLINK("https://www.youtube.com/watch?v=NUFEBioLPf8&amp;t=1883s", "Go to time")</f>
        <v/>
      </c>
    </row>
    <row r="2296">
      <c r="A2296">
        <f>HYPERLINK("https://www.youtube.com/watch?v=ESAaz9v4mSU", "Video")</f>
        <v/>
      </c>
      <c r="B2296" t="inlineStr">
        <is>
          <t>3:28</t>
        </is>
      </c>
      <c r="C2296" t="inlineStr">
        <is>
          <t>The movement was driven in large part</t>
        </is>
      </c>
      <c r="D2296">
        <f>HYPERLINK("https://www.youtube.com/watch?v=ESAaz9v4mSU&amp;t=208s", "Go to time")</f>
        <v/>
      </c>
    </row>
    <row r="2297">
      <c r="A2297">
        <f>HYPERLINK("https://www.youtube.com/watch?v=Im_ghczQEPw", "Video")</f>
        <v/>
      </c>
      <c r="B2297" t="inlineStr">
        <is>
          <t>2:59</t>
        </is>
      </c>
      <c r="C2297" t="inlineStr">
        <is>
          <t>just so that a driver would know
she's with somebody else.</t>
        </is>
      </c>
      <c r="D2297">
        <f>HYPERLINK("https://www.youtube.com/watch?v=Im_ghczQEPw&amp;t=179s", "Go to time")</f>
        <v/>
      </c>
    </row>
    <row r="2298">
      <c r="A2298">
        <f>HYPERLINK("https://www.youtube.com/watch?v=Im_ghczQEPw", "Video")</f>
        <v/>
      </c>
      <c r="B2298" t="inlineStr">
        <is>
          <t>4:06</t>
        </is>
      </c>
      <c r="C2298" t="inlineStr">
        <is>
          <t>So now drivers have a lot more income.</t>
        </is>
      </c>
      <c r="D2298">
        <f>HYPERLINK("https://www.youtube.com/watch?v=Im_ghczQEPw&amp;t=246s", "Go to time")</f>
        <v/>
      </c>
    </row>
    <row r="2299">
      <c r="A2299">
        <f>HYPERLINK("https://www.youtube.com/watch?v=Im_ghczQEPw", "Video")</f>
        <v/>
      </c>
      <c r="B2299" t="inlineStr">
        <is>
          <t>4:26</t>
        </is>
      </c>
      <c r="C2299" t="inlineStr">
        <is>
          <t>which would take out cash
from the driver's hands</t>
        </is>
      </c>
      <c r="D2299">
        <f>HYPERLINK("https://www.youtube.com/watch?v=Im_ghczQEPw&amp;t=266s", "Go to time")</f>
        <v/>
      </c>
    </row>
    <row r="2300">
      <c r="A2300">
        <f>HYPERLINK("https://www.youtube.com/watch?v=Im_ghczQEPw", "Video")</f>
        <v/>
      </c>
      <c r="B2300" t="inlineStr">
        <is>
          <t>4:31</t>
        </is>
      </c>
      <c r="C2300" t="inlineStr">
        <is>
          <t>And it was literally in the driver wallet,</t>
        </is>
      </c>
      <c r="D2300">
        <f>HYPERLINK("https://www.youtube.com/watch?v=Im_ghczQEPw&amp;t=271s", "Go to time")</f>
        <v/>
      </c>
    </row>
    <row r="2301">
      <c r="A2301">
        <f>HYPERLINK("https://www.youtube.com/watch?v=Im_ghczQEPw", "Video")</f>
        <v/>
      </c>
      <c r="B2301" t="inlineStr">
        <is>
          <t>4:59</t>
        </is>
      </c>
      <c r="C2301" t="inlineStr">
        <is>
          <t>Now, the benefit of that
was safety for the drivers,</t>
        </is>
      </c>
      <c r="D2301">
        <f>HYPERLINK("https://www.youtube.com/watch?v=Im_ghczQEPw&amp;t=299s", "Go to time")</f>
        <v/>
      </c>
    </row>
    <row r="2302">
      <c r="A2302">
        <f>HYPERLINK("https://www.youtube.com/watch?v=Im_ghczQEPw", "Video")</f>
        <v/>
      </c>
      <c r="B2302" t="inlineStr">
        <is>
          <t>5:08</t>
        </is>
      </c>
      <c r="C2302" t="inlineStr">
        <is>
          <t>Then we said, our drivers and including
our merchants actually needed more.</t>
        </is>
      </c>
      <c r="D2302">
        <f>HYPERLINK("https://www.youtube.com/watch?v=Im_ghczQEPw&amp;t=308s", "Go to time")</f>
        <v/>
      </c>
    </row>
    <row r="2303">
      <c r="A2303">
        <f>HYPERLINK("https://www.youtube.com/watch?v=Im_ghczQEPw", "Video")</f>
        <v/>
      </c>
      <c r="B2303" t="inlineStr">
        <is>
          <t>5:20</t>
        </is>
      </c>
      <c r="C2303" t="inlineStr">
        <is>
          <t>so that they can move
from not just being a driver,</t>
        </is>
      </c>
      <c r="D2303">
        <f>HYPERLINK("https://www.youtube.com/watch?v=Im_ghczQEPw&amp;t=320s", "Go to time")</f>
        <v/>
      </c>
    </row>
    <row r="2304">
      <c r="A2304">
        <f>HYPERLINK("https://www.youtube.com/watch?v=Im_ghczQEPw", "Video")</f>
        <v/>
      </c>
      <c r="B2304" t="inlineStr">
        <is>
          <t>6:01</t>
        </is>
      </c>
      <c r="C2304" t="inlineStr">
        <is>
          <t>So it was very catered for a segment
of people which are our drivers</t>
        </is>
      </c>
      <c r="D2304">
        <f>HYPERLINK("https://www.youtube.com/watch?v=Im_ghczQEPw&amp;t=361s", "Go to time")</f>
        <v/>
      </c>
    </row>
    <row r="2305">
      <c r="A2305">
        <f>HYPERLINK("https://www.youtube.com/watch?v=Im_ghczQEPw", "Video")</f>
        <v/>
      </c>
      <c r="B2305" t="inlineStr">
        <is>
          <t>8:09</t>
        </is>
      </c>
      <c r="C2305" t="inlineStr">
        <is>
          <t>you can drive to lower cost</t>
        </is>
      </c>
      <c r="D2305">
        <f>HYPERLINK("https://www.youtube.com/watch?v=Im_ghczQEPw&amp;t=489s", "Go to time")</f>
        <v/>
      </c>
    </row>
    <row r="2306">
      <c r="A2306">
        <f>HYPERLINK("https://www.youtube.com/watch?v=Im_ghczQEPw", "Video")</f>
        <v/>
      </c>
      <c r="B2306" t="inlineStr">
        <is>
          <t>8:20</t>
        </is>
      </c>
      <c r="C2306" t="inlineStr">
        <is>
          <t>random people who then can drive cars.</t>
        </is>
      </c>
      <c r="D2306">
        <f>HYPERLINK("https://www.youtube.com/watch?v=Im_ghczQEPw&amp;t=500s", "Go to time")</f>
        <v/>
      </c>
    </row>
    <row r="2307">
      <c r="A2307">
        <f>HYPERLINK("https://www.youtube.com/watch?v=Im_ghczQEPw", "Video")</f>
        <v/>
      </c>
      <c r="B2307" t="inlineStr">
        <is>
          <t>8:23</t>
        </is>
      </c>
      <c r="C2307" t="inlineStr">
        <is>
          <t>You approach the taxi drivers.</t>
        </is>
      </c>
      <c r="D2307">
        <f>HYPERLINK("https://www.youtube.com/watch?v=Im_ghczQEPw&amp;t=503s", "Go to time")</f>
        <v/>
      </c>
    </row>
    <row r="2308">
      <c r="A2308">
        <f>HYPERLINK("https://www.youtube.com/watch?v=Im_ghczQEPw", "Video")</f>
        <v/>
      </c>
      <c r="B2308" t="inlineStr">
        <is>
          <t>8:32</t>
        </is>
      </c>
      <c r="C2308" t="inlineStr">
        <is>
          <t>The design choice we chose
was to go with taxi drivers</t>
        </is>
      </c>
      <c r="D2308">
        <f>HYPERLINK("https://www.youtube.com/watch?v=Im_ghczQEPw&amp;t=512s", "Go to time")</f>
        <v/>
      </c>
    </row>
    <row r="2309">
      <c r="A2309">
        <f>HYPERLINK("https://www.youtube.com/watch?v=Im_ghczQEPw", "Video")</f>
        <v/>
      </c>
      <c r="B2309" t="inlineStr">
        <is>
          <t>9:47</t>
        </is>
      </c>
      <c r="C2309" t="inlineStr">
        <is>
          <t>And that's when we designed ways
of getting driver, get driver.</t>
        </is>
      </c>
      <c r="D2309">
        <f>HYPERLINK("https://www.youtube.com/watch?v=Im_ghczQEPw&amp;t=587s", "Go to time")</f>
        <v/>
      </c>
    </row>
    <row r="2310">
      <c r="A2310">
        <f>HYPERLINK("https://www.youtube.com/watch?v=Im_ghczQEPw", "Video")</f>
        <v/>
      </c>
      <c r="B2310" t="inlineStr">
        <is>
          <t>10:27</t>
        </is>
      </c>
      <c r="C2310" t="inlineStr">
        <is>
          <t>than the time it took you
to convince the taxi drivers?</t>
        </is>
      </c>
      <c r="D2310">
        <f>HYPERLINK("https://www.youtube.com/watch?v=Im_ghczQEPw&amp;t=627s", "Go to time")</f>
        <v/>
      </c>
    </row>
    <row r="2311">
      <c r="A2311">
        <f>HYPERLINK("https://www.youtube.com/watch?v=Im_ghczQEPw", "Video")</f>
        <v/>
      </c>
      <c r="B2311" t="inlineStr">
        <is>
          <t>12:41</t>
        </is>
      </c>
      <c r="C2311" t="inlineStr">
        <is>
          <t>our drivers can't move.</t>
        </is>
      </c>
      <c r="D2311">
        <f>HYPERLINK("https://www.youtube.com/watch?v=Im_ghczQEPw&amp;t=761s", "Go to time")</f>
        <v/>
      </c>
    </row>
    <row r="2312">
      <c r="A2312">
        <f>HYPERLINK("https://www.youtube.com/watch?v=Im_ghczQEPw", "Video")</f>
        <v/>
      </c>
      <c r="B2312" t="inlineStr">
        <is>
          <t>12:54</t>
        </is>
      </c>
      <c r="C2312" t="inlineStr">
        <is>
          <t>Drivers don't earn their income.</t>
        </is>
      </c>
      <c r="D2312">
        <f>HYPERLINK("https://www.youtube.com/watch?v=Im_ghczQEPw&amp;t=774s", "Go to time")</f>
        <v/>
      </c>
    </row>
    <row r="2313">
      <c r="A2313">
        <f>HYPERLINK("https://www.youtube.com/watch?v=VP_fpvI3Y1k", "Video")</f>
        <v/>
      </c>
      <c r="B2313" t="inlineStr">
        <is>
          <t>6:40</t>
        </is>
      </c>
      <c r="C2313" t="inlineStr">
        <is>
          <t>as well really driven by the people for</t>
        </is>
      </c>
      <c r="D2313">
        <f>HYPERLINK("https://www.youtube.com/watch?v=VP_fpvI3Y1k&amp;t=400s", "Go to time")</f>
        <v/>
      </c>
    </row>
    <row r="2314">
      <c r="A2314">
        <f>HYPERLINK("https://www.youtube.com/watch?v=VP_fpvI3Y1k", "Video")</f>
        <v/>
      </c>
      <c r="B2314" t="inlineStr">
        <is>
          <t>28:22</t>
        </is>
      </c>
      <c r="C2314" t="inlineStr">
        <is>
          <t>and drive on those are where we are in</t>
        </is>
      </c>
      <c r="D2314">
        <f>HYPERLINK("https://www.youtube.com/watch?v=VP_fpvI3Y1k&amp;t=1702s", "Go to time")</f>
        <v/>
      </c>
    </row>
    <row r="2315">
      <c r="A2315">
        <f>HYPERLINK("https://www.youtube.com/watch?v=NO5-IQNmZN4", "Video")</f>
        <v/>
      </c>
      <c r="B2315" t="inlineStr">
        <is>
          <t>4:27</t>
        </is>
      </c>
      <c r="C2315" t="inlineStr">
        <is>
          <t>these behaviors are driven
by the context in which we,</t>
        </is>
      </c>
      <c r="D2315">
        <f>HYPERLINK("https://www.youtube.com/watch?v=NO5-IQNmZN4&amp;t=267s", "Go to time")</f>
        <v/>
      </c>
    </row>
    <row r="2316">
      <c r="A2316">
        <f>HYPERLINK("https://www.youtube.com/watch?v=YYRI164Y-_M", "Video")</f>
        <v/>
      </c>
      <c r="B2316" t="inlineStr">
        <is>
          <t>0:22</t>
        </is>
      </c>
      <c r="C2316" t="inlineStr">
        <is>
          <t>And to be honest,
these slogans drive me crazy.</t>
        </is>
      </c>
      <c r="D2316">
        <f>HYPERLINK("https://www.youtube.com/watch?v=YYRI164Y-_M&amp;t=22s", "Go to time")</f>
        <v/>
      </c>
    </row>
    <row r="2317">
      <c r="A2317">
        <f>HYPERLINK("https://www.youtube.com/watch?v=YYRI164Y-_M", "Video")</f>
        <v/>
      </c>
      <c r="B2317" t="inlineStr">
        <is>
          <t>5:43</t>
        </is>
      </c>
      <c r="C2317" t="inlineStr">
        <is>
          <t>which is driven
by the impulses of the learner?</t>
        </is>
      </c>
      <c r="D2317">
        <f>HYPERLINK("https://www.youtube.com/watch?v=YYRI164Y-_M&amp;t=343s", "Go to time")</f>
        <v/>
      </c>
    </row>
    <row r="2318">
      <c r="A2318">
        <f>HYPERLINK("https://www.youtube.com/watch?v=2ix8JEqCJ1s", "Video")</f>
        <v/>
      </c>
      <c r="B2318" t="inlineStr">
        <is>
          <t>3:00</t>
        </is>
      </c>
      <c r="C2318" t="inlineStr">
        <is>
          <t>but he also knew that facts
do not drive conversation online.</t>
        </is>
      </c>
      <c r="D2318">
        <f>HYPERLINK("https://www.youtube.com/watch?v=2ix8JEqCJ1s&amp;t=180s", "Go to time")</f>
        <v/>
      </c>
    </row>
    <row r="2319">
      <c r="A2319">
        <f>HYPERLINK("https://www.youtube.com/watch?v=2ix8JEqCJ1s", "Video")</f>
        <v/>
      </c>
      <c r="B2319" t="inlineStr">
        <is>
          <t>3:03</t>
        </is>
      </c>
      <c r="C2319" t="inlineStr">
        <is>
          <t>What drives conversation online</t>
        </is>
      </c>
      <c r="D2319">
        <f>HYPERLINK("https://www.youtube.com/watch?v=2ix8JEqCJ1s&amp;t=183s", "Go to time")</f>
        <v/>
      </c>
    </row>
    <row r="2320">
      <c r="A2320">
        <f>HYPERLINK("https://www.youtube.com/watch?v=y9Trdafp83U", "Video")</f>
        <v/>
      </c>
      <c r="B2320" t="inlineStr">
        <is>
          <t>5:38</t>
        </is>
      </c>
      <c r="C2320" t="inlineStr">
        <is>
          <t>some "why" that drives you forward.</t>
        </is>
      </c>
      <c r="D2320">
        <f>HYPERLINK("https://www.youtube.com/watch?v=y9Trdafp83U&amp;t=338s", "Go to time")</f>
        <v/>
      </c>
    </row>
    <row r="2321">
      <c r="A2321">
        <f>HYPERLINK("https://www.youtube.com/watch?v=ktsuKyzihjU", "Video")</f>
        <v/>
      </c>
      <c r="B2321" t="inlineStr">
        <is>
          <t>6:30</t>
        </is>
      </c>
      <c r="C2321" t="inlineStr">
        <is>
          <t>But the world is driven by digits,</t>
        </is>
      </c>
      <c r="D2321">
        <f>HYPERLINK("https://www.youtube.com/watch?v=ktsuKyzihjU&amp;t=390s", "Go to time")</f>
        <v/>
      </c>
    </row>
    <row r="2322">
      <c r="A2322">
        <f>HYPERLINK("https://www.youtube.com/watch?v=kioUmpJQbKM", "Video")</f>
        <v/>
      </c>
      <c r="B2322" t="inlineStr">
        <is>
          <t>4:49</t>
        </is>
      </c>
      <c r="C2322" t="inlineStr">
        <is>
          <t>You may think it's not
your responsibility to drive change.</t>
        </is>
      </c>
      <c r="D2322">
        <f>HYPERLINK("https://www.youtube.com/watch?v=kioUmpJQbKM&amp;t=289s", "Go to time")</f>
        <v/>
      </c>
    </row>
    <row r="2323">
      <c r="A2323">
        <f>HYPERLINK("https://www.youtube.com/watch?v=DGvPfD1Dd1U", "Video")</f>
        <v/>
      </c>
      <c r="B2323" t="inlineStr">
        <is>
          <t>2:07</t>
        </is>
      </c>
      <c r="C2323" t="inlineStr">
        <is>
          <t>So let me drive you
to the edge of what is known,</t>
        </is>
      </c>
      <c r="D2323">
        <f>HYPERLINK("https://www.youtube.com/watch?v=DGvPfD1Dd1U&amp;t=127s", "Go to time")</f>
        <v/>
      </c>
    </row>
    <row r="2324">
      <c r="A2324">
        <f>HYPERLINK("https://www.youtube.com/watch?v=DGvPfD1Dd1U", "Video")</f>
        <v/>
      </c>
      <c r="B2324" t="inlineStr">
        <is>
          <t>5:50</t>
        </is>
      </c>
      <c r="C2324" t="inlineStr">
        <is>
          <t>and you realize
that the car has no driver.</t>
        </is>
      </c>
      <c r="D2324">
        <f>HYPERLINK("https://www.youtube.com/watch?v=DGvPfD1Dd1U&amp;t=350s", "Go to time")</f>
        <v/>
      </c>
    </row>
    <row r="2325">
      <c r="A2325">
        <f>HYPERLINK("https://www.youtube.com/watch?v=DGvPfD1Dd1U", "Video")</f>
        <v/>
      </c>
      <c r="B2325" t="inlineStr">
        <is>
          <t>10:04</t>
        </is>
      </c>
      <c r="C2325" t="inlineStr">
        <is>
          <t>So let me drive you
across a few predictions we made.</t>
        </is>
      </c>
      <c r="D2325">
        <f>HYPERLINK("https://www.youtube.com/watch?v=DGvPfD1Dd1U&amp;t=604s", "Go to time")</f>
        <v/>
      </c>
    </row>
    <row r="2326">
      <c r="A2326">
        <f>HYPERLINK("https://www.youtube.com/watch?v=UQbkSDbm4sw", "Video")</f>
        <v/>
      </c>
      <c r="B2326" t="inlineStr">
        <is>
          <t>1:41</t>
        </is>
      </c>
      <c r="C2326" t="inlineStr">
        <is>
          <t>we will drive investment
into tropical forest protection</t>
        </is>
      </c>
      <c r="D2326">
        <f>HYPERLINK("https://www.youtube.com/watch?v=UQbkSDbm4sw&amp;t=101s", "Go to time")</f>
        <v/>
      </c>
    </row>
    <row r="2327">
      <c r="A2327">
        <f>HYPERLINK("https://www.youtube.com/watch?v=w7n1oYtMdEY", "Video")</f>
        <v/>
      </c>
      <c r="B2327" t="inlineStr">
        <is>
          <t>10:01</t>
        </is>
      </c>
      <c r="C2327" t="inlineStr">
        <is>
          <t>I don’t drive the tractors,
and I don’t plant the rice.</t>
        </is>
      </c>
      <c r="D2327">
        <f>HYPERLINK("https://www.youtube.com/watch?v=w7n1oYtMdEY&amp;t=601s", "Go to time")</f>
        <v/>
      </c>
    </row>
    <row r="2328">
      <c r="A2328">
        <f>HYPERLINK("https://www.youtube.com/watch?v=szt7f5NmE9E", "Video")</f>
        <v/>
      </c>
      <c r="B2328" t="inlineStr">
        <is>
          <t>35:11</t>
        </is>
      </c>
      <c r="C2328" t="inlineStr">
        <is>
          <t>for a 50-year old unemployed truck driver</t>
        </is>
      </c>
      <c r="D2328">
        <f>HYPERLINK("https://www.youtube.com/watch?v=szt7f5NmE9E&amp;t=2111s", "Go to time")</f>
        <v/>
      </c>
    </row>
    <row r="2329">
      <c r="A2329">
        <f>HYPERLINK("https://www.youtube.com/watch?v=szt7f5NmE9E", "Video")</f>
        <v/>
      </c>
      <c r="B2329" t="inlineStr">
        <is>
          <t>35:17</t>
        </is>
      </c>
      <c r="C2329" t="inlineStr">
        <is>
          <t>it won't be easy
for an unemployed truck driver</t>
        </is>
      </c>
      <c r="D2329">
        <f>HYPERLINK("https://www.youtube.com/watch?v=szt7f5NmE9E&amp;t=2117s", "Go to time")</f>
        <v/>
      </c>
    </row>
    <row r="2330">
      <c r="A2330">
        <f>HYPERLINK("https://www.youtube.com/watch?v=DTIjvPLkJgo", "Video")</f>
        <v/>
      </c>
      <c r="B2330" t="inlineStr">
        <is>
          <t>1:20</t>
        </is>
      </c>
      <c r="C2330" t="inlineStr">
        <is>
          <t>They drive, they run, they fly,</t>
        </is>
      </c>
      <c r="D2330">
        <f>HYPERLINK("https://www.youtube.com/watch?v=DTIjvPLkJgo&amp;t=80s", "Go to time")</f>
        <v/>
      </c>
    </row>
    <row r="2331">
      <c r="A2331">
        <f>HYPERLINK("https://www.youtube.com/watch?v=slbfAfEvnQ0", "Video")</f>
        <v/>
      </c>
      <c r="B2331" t="inlineStr">
        <is>
          <t>6:43</t>
        </is>
      </c>
      <c r="C2331" t="inlineStr">
        <is>
          <t>are all driven by the same broken patterns
of consumption and production.</t>
        </is>
      </c>
      <c r="D2331">
        <f>HYPERLINK("https://www.youtube.com/watch?v=slbfAfEvnQ0&amp;t=403s", "Go to time")</f>
        <v/>
      </c>
    </row>
    <row r="2332">
      <c r="A2332">
        <f>HYPERLINK("https://www.youtube.com/watch?v=f-mQIWnO3Ag", "Video")</f>
        <v/>
      </c>
      <c r="B2332" t="inlineStr">
        <is>
          <t>5:08</t>
        </is>
      </c>
      <c r="C2332" t="inlineStr">
        <is>
          <t>It can help drivers listen to their emails</t>
        </is>
      </c>
      <c r="D2332">
        <f>HYPERLINK("https://www.youtube.com/watch?v=f-mQIWnO3Ag&amp;t=308s", "Go to time")</f>
        <v/>
      </c>
    </row>
    <row r="2333">
      <c r="A2333">
        <f>HYPERLINK("https://www.youtube.com/watch?v=Tf49RWv4vBY", "Video")</f>
        <v/>
      </c>
      <c r="B2333" t="inlineStr">
        <is>
          <t>1:57</t>
        </is>
      </c>
      <c r="C2333" t="inlineStr">
        <is>
          <t>was primarily driven by fossil fuels.</t>
        </is>
      </c>
      <c r="D2333">
        <f>HYPERLINK("https://www.youtube.com/watch?v=Tf49RWv4vBY&amp;t=117s", "Go to time")</f>
        <v/>
      </c>
    </row>
    <row r="2334">
      <c r="A2334">
        <f>HYPERLINK("https://www.youtube.com/watch?v=3hRxS_As6-s", "Video")</f>
        <v/>
      </c>
      <c r="B2334" t="inlineStr">
        <is>
          <t>0:42</t>
        </is>
      </c>
      <c r="C2334" t="inlineStr">
        <is>
          <t>I drive a minivan, like the kind where doors
open and I don't even touch them.</t>
        </is>
      </c>
      <c r="D2334">
        <f>HYPERLINK("https://www.youtube.com/watch?v=3hRxS_As6-s&amp;t=42s", "Go to time")</f>
        <v/>
      </c>
    </row>
    <row r="2335">
      <c r="A2335">
        <f>HYPERLINK("https://www.youtube.com/watch?v=fCllxq6NZbk", "Video")</f>
        <v/>
      </c>
      <c r="B2335" t="inlineStr">
        <is>
          <t>4:25</t>
        </is>
      </c>
      <c r="C2335" t="inlineStr">
        <is>
          <t>This means the ability
to drive chemical reactions</t>
        </is>
      </c>
      <c r="D2335">
        <f>HYPERLINK("https://www.youtube.com/watch?v=fCllxq6NZbk&amp;t=265s", "Go to time")</f>
        <v/>
      </c>
    </row>
    <row r="2336">
      <c r="A2336">
        <f>HYPERLINK("https://www.youtube.com/watch?v=0Vjh5d5rez0", "Video")</f>
        <v/>
      </c>
      <c r="B2336" t="inlineStr">
        <is>
          <t>2:21</t>
        </is>
      </c>
      <c r="C2336" t="inlineStr">
        <is>
          <t>And I had produced
about 40 data-driven slides</t>
        </is>
      </c>
      <c r="D2336">
        <f>HYPERLINK("https://www.youtube.com/watch?v=0Vjh5d5rez0&amp;t=141s", "Go to time")</f>
        <v/>
      </c>
    </row>
    <row r="2337">
      <c r="A2337">
        <f>HYPERLINK("https://www.youtube.com/watch?v=XNNuwvbR6aA", "Video")</f>
        <v/>
      </c>
      <c r="B2337" t="inlineStr">
        <is>
          <t>1:40</t>
        </is>
      </c>
      <c r="C2337" t="inlineStr">
        <is>
          <t>to help drive the change we need to see.</t>
        </is>
      </c>
      <c r="D2337">
        <f>HYPERLINK("https://www.youtube.com/watch?v=XNNuwvbR6aA&amp;t=100s", "Go to time")</f>
        <v/>
      </c>
    </row>
    <row r="2338">
      <c r="A2338">
        <f>HYPERLINK("https://www.youtube.com/watch?v=XNNuwvbR6aA", "Video")</f>
        <v/>
      </c>
      <c r="B2338" t="inlineStr">
        <is>
          <t>7:47</t>
        </is>
      </c>
      <c r="C2338" t="inlineStr">
        <is>
          <t>In some countries,
50 dollars per ton will drive change.</t>
        </is>
      </c>
      <c r="D2338">
        <f>HYPERLINK("https://www.youtube.com/watch?v=XNNuwvbR6aA&amp;t=467s", "Go to time")</f>
        <v/>
      </c>
    </row>
    <row r="2339">
      <c r="A2339">
        <f>HYPERLINK("https://www.youtube.com/watch?v=XNNuwvbR6aA", "Video")</f>
        <v/>
      </c>
      <c r="B2339" t="inlineStr">
        <is>
          <t>10:17</t>
        </is>
      </c>
      <c r="C2339" t="inlineStr">
        <is>
          <t>to drive the broad transformation
of society that we really need</t>
        </is>
      </c>
      <c r="D2339">
        <f>HYPERLINK("https://www.youtube.com/watch?v=XNNuwvbR6aA&amp;t=617s", "Go to time")</f>
        <v/>
      </c>
    </row>
    <row r="2340">
      <c r="A2340">
        <f>HYPERLINK("https://www.youtube.com/watch?v=Cm1Ij-jRhpQ", "Video")</f>
        <v/>
      </c>
      <c r="B2340" t="inlineStr">
        <is>
          <t>2:03</t>
        </is>
      </c>
      <c r="C2340" t="inlineStr">
        <is>
          <t>Here's what I actually drive.</t>
        </is>
      </c>
      <c r="D2340">
        <f>HYPERLINK("https://www.youtube.com/watch?v=Cm1Ij-jRhpQ&amp;t=123s", "Go to time")</f>
        <v/>
      </c>
    </row>
    <row r="2341">
      <c r="A2341">
        <f>HYPERLINK("https://www.youtube.com/watch?v=Cm1Ij-jRhpQ", "Video")</f>
        <v/>
      </c>
      <c r="B2341" t="inlineStr">
        <is>
          <t>4:18</t>
        </is>
      </c>
      <c r="C2341" t="inlineStr">
        <is>
          <t>is removing one of its biggest
drivers of growth -- people.</t>
        </is>
      </c>
      <c r="D2341">
        <f>HYPERLINK("https://www.youtube.com/watch?v=Cm1Ij-jRhpQ&amp;t=258s", "Go to time")</f>
        <v/>
      </c>
    </row>
    <row r="2342">
      <c r="A2342">
        <f>HYPERLINK("https://www.youtube.com/watch?v=2j00U6lUC-c", "Video")</f>
        <v/>
      </c>
      <c r="B2342" t="inlineStr">
        <is>
          <t>1:31</t>
        </is>
      </c>
      <c r="C2342" t="inlineStr">
        <is>
          <t>So a taxi driver can use a satnav system
to navigate on unfamiliar roads.</t>
        </is>
      </c>
      <c r="D2342">
        <f>HYPERLINK("https://www.youtube.com/watch?v=2j00U6lUC-c&amp;t=91s", "Go to time")</f>
        <v/>
      </c>
    </row>
    <row r="2343">
      <c r="A2343">
        <f>HYPERLINK("https://www.youtube.com/watch?v=2j00U6lUC-c", "Video")</f>
        <v/>
      </c>
      <c r="B2343" t="inlineStr">
        <is>
          <t>3:36</t>
        </is>
      </c>
      <c r="C2343" t="inlineStr">
        <is>
          <t>You know, all major car manufacturers
have driverless car programs.</t>
        </is>
      </c>
      <c r="D2343">
        <f>HYPERLINK("https://www.youtube.com/watch?v=2j00U6lUC-c&amp;t=216s", "Go to time")</f>
        <v/>
      </c>
    </row>
    <row r="2344">
      <c r="A2344">
        <f>HYPERLINK("https://www.youtube.com/watch?v=2j00U6lUC-c", "Video")</f>
        <v/>
      </c>
      <c r="B2344" t="inlineStr">
        <is>
          <t>11:00</t>
        </is>
      </c>
      <c r="C2344" t="inlineStr">
        <is>
          <t>They make some
human beings better drivers.</t>
        </is>
      </c>
      <c r="D2344">
        <f>HYPERLINK("https://www.youtube.com/watch?v=2j00U6lUC-c&amp;t=660s", "Go to time")</f>
        <v/>
      </c>
    </row>
    <row r="2345">
      <c r="A2345">
        <f>HYPERLINK("https://www.youtube.com/watch?v=2j00U6lUC-c", "Video")</f>
        <v/>
      </c>
      <c r="B2345" t="inlineStr">
        <is>
          <t>11:10</t>
        </is>
      </c>
      <c r="C2345" t="inlineStr">
        <is>
          <t>will simply make these
driverless cars more efficient,</t>
        </is>
      </c>
      <c r="D2345">
        <f>HYPERLINK("https://www.youtube.com/watch?v=2j00U6lUC-c&amp;t=670s", "Go to time")</f>
        <v/>
      </c>
    </row>
    <row r="2346">
      <c r="A2346">
        <f>HYPERLINK("https://www.youtube.com/watch?v=8v_GrrQs8ow", "Video")</f>
        <v/>
      </c>
      <c r="B2346" t="inlineStr">
        <is>
          <t>10:12</t>
        </is>
      </c>
      <c r="C2346" t="inlineStr">
        <is>
          <t>or have been driven into hiding or exile.</t>
        </is>
      </c>
      <c r="D2346">
        <f>HYPERLINK("https://www.youtube.com/watch?v=8v_GrrQs8ow&amp;t=612s", "Go to time")</f>
        <v/>
      </c>
    </row>
    <row r="2347">
      <c r="A2347">
        <f>HYPERLINK("https://www.youtube.com/watch?v=d-8n24ZwZcQ", "Video")</f>
        <v/>
      </c>
      <c r="B2347" t="inlineStr">
        <is>
          <t>2:57</t>
        </is>
      </c>
      <c r="C2347" t="inlineStr">
        <is>
          <t>because it's the cumulative emissions
that drive heating on the planet.</t>
        </is>
      </c>
      <c r="D2347">
        <f>HYPERLINK("https://www.youtube.com/watch?v=d-8n24ZwZcQ&amp;t=177s", "Go to time")</f>
        <v/>
      </c>
    </row>
    <row r="2348">
      <c r="A2348">
        <f>HYPERLINK("https://www.youtube.com/watch?v=qSr39QPhBc4", "Video")</f>
        <v/>
      </c>
      <c r="B2348" t="inlineStr">
        <is>
          <t>0:24</t>
        </is>
      </c>
      <c r="C2348" t="inlineStr">
        <is>
          <t>and are often driven
to large farms and male farmers,</t>
        </is>
      </c>
      <c r="D2348">
        <f>HYPERLINK("https://www.youtube.com/watch?v=qSr39QPhBc4&amp;t=24s", "Go to time")</f>
        <v/>
      </c>
    </row>
    <row r="2349">
      <c r="A2349">
        <f>HYPERLINK("https://www.youtube.com/watch?v=Lv-TjM4YVzE", "Video")</f>
        <v/>
      </c>
      <c r="B2349" t="inlineStr">
        <is>
          <t>13:52</t>
        </is>
      </c>
      <c r="C2349" t="inlineStr">
        <is>
          <t>the elimination process
may go into overdrive.</t>
        </is>
      </c>
      <c r="D2349">
        <f>HYPERLINK("https://www.youtube.com/watch?v=Lv-TjM4YVzE&amp;t=832s", "Go to time")</f>
        <v/>
      </c>
    </row>
    <row r="2350">
      <c r="A2350">
        <f>HYPERLINK("https://www.youtube.com/watch?v=Lv-TjM4YVzE", "Video")</f>
        <v/>
      </c>
      <c r="B2350" t="inlineStr">
        <is>
          <t>14:34</t>
        </is>
      </c>
      <c r="C2350" t="inlineStr">
        <is>
          <t>of the potential for data-driven
scientific approaches</t>
        </is>
      </c>
      <c r="D2350">
        <f>HYPERLINK("https://www.youtube.com/watch?v=Lv-TjM4YVzE&amp;t=874s", "Go to time")</f>
        <v/>
      </c>
    </row>
    <row r="2351">
      <c r="A2351">
        <f>HYPERLINK("https://www.youtube.com/watch?v=I-B_Oa6_eNU", "Video")</f>
        <v/>
      </c>
      <c r="B2351" t="inlineStr">
        <is>
          <t>0:04</t>
        </is>
      </c>
      <c r="C2351" t="inlineStr">
        <is>
          <t>driven primarily by prophets holding the</t>
        </is>
      </c>
      <c r="D2351">
        <f>HYPERLINK("https://www.youtube.com/watch?v=I-B_Oa6_eNU&amp;t=4s", "Go to time")</f>
        <v/>
      </c>
    </row>
    <row r="2352">
      <c r="A2352">
        <f>HYPERLINK("https://www.youtube.com/watch?v=I-B_Oa6_eNU", "Video")</f>
        <v/>
      </c>
      <c r="B2352" t="inlineStr">
        <is>
          <t>28:12</t>
        </is>
      </c>
      <c r="C2352" t="inlineStr">
        <is>
          <t>to drive corporate growth might prove to</t>
        </is>
      </c>
      <c r="D2352">
        <f>HYPERLINK("https://www.youtube.com/watch?v=I-B_Oa6_eNU&amp;t=1692s", "Go to time")</f>
        <v/>
      </c>
    </row>
    <row r="2353">
      <c r="A2353">
        <f>HYPERLINK("https://www.youtube.com/watch?v=I-B_Oa6_eNU", "Video")</f>
        <v/>
      </c>
      <c r="B2353" t="inlineStr">
        <is>
          <t>28:33</t>
        </is>
      </c>
      <c r="C2353" t="inlineStr">
        <is>
          <t>scale together with efficiencies driven</t>
        </is>
      </c>
      <c r="D2353">
        <f>HYPERLINK("https://www.youtube.com/watch?v=I-B_Oa6_eNU&amp;t=1713s", "Go to time")</f>
        <v/>
      </c>
    </row>
    <row r="2354">
      <c r="A2354">
        <f>HYPERLINK("https://www.youtube.com/watch?v=I-B_Oa6_eNU", "Video")</f>
        <v/>
      </c>
      <c r="B2354" t="inlineStr">
        <is>
          <t>30:15</t>
        </is>
      </c>
      <c r="C2354" t="inlineStr">
        <is>
          <t>able to drive the Innovation because</t>
        </is>
      </c>
      <c r="D2354">
        <f>HYPERLINK("https://www.youtube.com/watch?v=I-B_Oa6_eNU&amp;t=1815s", "Go to time")</f>
        <v/>
      </c>
    </row>
    <row r="2355">
      <c r="A2355">
        <f>HYPERLINK("https://www.youtube.com/watch?v=I-B_Oa6_eNU", "Video")</f>
        <v/>
      </c>
      <c r="B2355" t="inlineStr">
        <is>
          <t>34:41</t>
        </is>
      </c>
      <c r="C2355" t="inlineStr">
        <is>
          <t>actually the drivers of Cutting Edge AI</t>
        </is>
      </c>
      <c r="D2355">
        <f>HYPERLINK("https://www.youtube.com/watch?v=I-B_Oa6_eNU&amp;t=2081s", "Go to time")</f>
        <v/>
      </c>
    </row>
    <row r="2356">
      <c r="A2356">
        <f>HYPERLINK("https://www.youtube.com/watch?v=I-B_Oa6_eNU", "Video")</f>
        <v/>
      </c>
      <c r="B2356" t="inlineStr">
        <is>
          <t>38:19</t>
        </is>
      </c>
      <c r="C2356" t="inlineStr">
        <is>
          <t>not driven by ideology they're not</t>
        </is>
      </c>
      <c r="D2356">
        <f>HYPERLINK("https://www.youtube.com/watch?v=I-B_Oa6_eNU&amp;t=2299s", "Go to time")</f>
        <v/>
      </c>
    </row>
    <row r="2357">
      <c r="A2357">
        <f>HYPERLINK("https://www.youtube.com/watch?v=I-B_Oa6_eNU", "Video")</f>
        <v/>
      </c>
      <c r="B2357" t="inlineStr">
        <is>
          <t>38:21</t>
        </is>
      </c>
      <c r="C2357" t="inlineStr">
        <is>
          <t>driven by political cycle they're driven</t>
        </is>
      </c>
      <c r="D2357">
        <f>HYPERLINK("https://www.youtube.com/watch?v=I-B_Oa6_eNU&amp;t=2301s", "Go to time")</f>
        <v/>
      </c>
    </row>
    <row r="2358">
      <c r="A2358">
        <f>HYPERLINK("https://www.youtube.com/watch?v=I-B_Oa6_eNU", "Video")</f>
        <v/>
      </c>
      <c r="B2358" t="inlineStr">
        <is>
          <t>43:18</t>
        </is>
      </c>
      <c r="C2358" t="inlineStr">
        <is>
          <t>to be necessary to drive that uh and not</t>
        </is>
      </c>
      <c r="D2358">
        <f>HYPERLINK("https://www.youtube.com/watch?v=I-B_Oa6_eNU&amp;t=2598s", "Go to time")</f>
        <v/>
      </c>
    </row>
    <row r="2359">
      <c r="A2359">
        <f>HYPERLINK("https://www.youtube.com/watch?v=8_cEKbzbC98", "Video")</f>
        <v/>
      </c>
      <c r="B2359" t="inlineStr">
        <is>
          <t>1:58</t>
        </is>
      </c>
      <c r="C2359" t="inlineStr">
        <is>
          <t>So parents are forced to drive across town</t>
        </is>
      </c>
      <c r="D2359">
        <f>HYPERLINK("https://www.youtube.com/watch?v=8_cEKbzbC98&amp;t=118s", "Go to time")</f>
        <v/>
      </c>
    </row>
    <row r="2360">
      <c r="A2360">
        <f>HYPERLINK("https://www.youtube.com/watch?v=8_cEKbzbC98", "Video")</f>
        <v/>
      </c>
      <c r="B2360" t="inlineStr">
        <is>
          <t>3:44</t>
        </is>
      </c>
      <c r="C2360" t="inlineStr">
        <is>
          <t>that we would be able to create
a software network of drivers,</t>
        </is>
      </c>
      <c r="D2360">
        <f>HYPERLINK("https://www.youtube.com/watch?v=8_cEKbzbC98&amp;t=224s", "Go to time")</f>
        <v/>
      </c>
    </row>
    <row r="2361">
      <c r="A2361">
        <f>HYPERLINK("https://www.youtube.com/watch?v=8_cEKbzbC98", "Video")</f>
        <v/>
      </c>
      <c r="B2361" t="inlineStr">
        <is>
          <t>8:03</t>
        </is>
      </c>
      <c r="C2361" t="inlineStr">
        <is>
          <t>Where parents don't have
to drive across town</t>
        </is>
      </c>
      <c r="D2361">
        <f>HYPERLINK("https://www.youtube.com/watch?v=8_cEKbzbC98&amp;t=483s", "Go to time")</f>
        <v/>
      </c>
    </row>
    <row r="2362">
      <c r="A2362">
        <f>HYPERLINK("https://www.youtube.com/watch?v=q5gfclBZ2xY", "Video")</f>
        <v/>
      </c>
      <c r="B2362" t="inlineStr">
        <is>
          <t>3:05</t>
        </is>
      </c>
      <c r="C2362" t="inlineStr">
        <is>
          <t>there was even a young boy
on a tricycle in the driveway.</t>
        </is>
      </c>
      <c r="D2362">
        <f>HYPERLINK("https://www.youtube.com/watch?v=q5gfclBZ2xY&amp;t=185s", "Go to time")</f>
        <v/>
      </c>
    </row>
    <row r="2363">
      <c r="A2363">
        <f>HYPERLINK("https://www.youtube.com/watch?v=LHmz_s981-g", "Video")</f>
        <v/>
      </c>
      <c r="B2363" t="inlineStr">
        <is>
          <t>2:54</t>
        </is>
      </c>
      <c r="C2363" t="inlineStr">
        <is>
          <t>As a teenager, it cried,
took endless drives over the grapevine</t>
        </is>
      </c>
      <c r="D2363">
        <f>HYPERLINK("https://www.youtube.com/watch?v=LHmz_s981-g&amp;t=174s", "Go to time")</f>
        <v/>
      </c>
    </row>
    <row r="2364">
      <c r="A2364">
        <f>HYPERLINK("https://www.youtube.com/watch?v=BBHnLH98bNg", "Video")</f>
        <v/>
      </c>
      <c r="B2364" t="inlineStr">
        <is>
          <t>18:54</t>
        </is>
      </c>
      <c r="C2364" t="inlineStr">
        <is>
          <t>is doing is has an uninvestigated drive</t>
        </is>
      </c>
      <c r="D2364">
        <f>HYPERLINK("https://www.youtube.com/watch?v=BBHnLH98bNg&amp;t=1134s", "Go to time")</f>
        <v/>
      </c>
    </row>
    <row r="2365">
      <c r="A2365">
        <f>HYPERLINK("https://www.youtube.com/watch?v=McxUiTl61nY", "Video")</f>
        <v/>
      </c>
      <c r="B2365" t="inlineStr">
        <is>
          <t>1:51</t>
        </is>
      </c>
      <c r="C2365" t="inlineStr">
        <is>
          <t>And he one day decides to drive up
into the driveway with this bread truck.</t>
        </is>
      </c>
      <c r="D2365">
        <f>HYPERLINK("https://www.youtube.com/watch?v=McxUiTl61nY&amp;t=111s", "Go to time")</f>
        <v/>
      </c>
    </row>
    <row r="2366">
      <c r="A2366">
        <f>HYPERLINK("https://www.youtube.com/watch?v=qDFNgc8jsrc", "Video")</f>
        <v/>
      </c>
      <c r="B2366" t="inlineStr">
        <is>
          <t>1:43</t>
        </is>
      </c>
      <c r="C2366" t="inlineStr">
        <is>
          <t>and sell them for a dime on my driveway.</t>
        </is>
      </c>
      <c r="D2366">
        <f>HYPERLINK("https://www.youtube.com/watch?v=qDFNgc8jsrc&amp;t=103s", "Go to time")</f>
        <v/>
      </c>
    </row>
    <row r="2367">
      <c r="A2367">
        <f>HYPERLINK("https://www.youtube.com/watch?v=iF5-aDJOr6U", "Video")</f>
        <v/>
      </c>
      <c r="B2367" t="inlineStr">
        <is>
          <t>9:31</t>
        </is>
      </c>
      <c r="C2367" t="inlineStr">
        <is>
          <t>we really need teachers
to drive the adoption</t>
        </is>
      </c>
      <c r="D2367">
        <f>HYPERLINK("https://www.youtube.com/watch?v=iF5-aDJOr6U&amp;t=571s", "Go to time")</f>
        <v/>
      </c>
    </row>
    <row r="2368">
      <c r="A2368">
        <f>HYPERLINK("https://www.youtube.com/watch?v=Cz9w0sx-_rs", "Video")</f>
        <v/>
      </c>
      <c r="B2368" t="inlineStr">
        <is>
          <t>6:42</t>
        </is>
      </c>
      <c r="C2368" t="inlineStr">
        <is>
          <t>and drives it down
into the Earth’s mantle.</t>
        </is>
      </c>
      <c r="D2368">
        <f>HYPERLINK("https://www.youtube.com/watch?v=Cz9w0sx-_rs&amp;t=402s", "Go to time")</f>
        <v/>
      </c>
    </row>
    <row r="2369">
      <c r="A2369">
        <f>HYPERLINK("https://www.youtube.com/watch?v=WX_vN1QYgmE", "Video")</f>
        <v/>
      </c>
      <c r="B2369" t="inlineStr">
        <is>
          <t>0:18</t>
        </is>
      </c>
      <c r="C2369" t="inlineStr">
        <is>
          <t>it can drive us to incredible feats
in sports and innovation,</t>
        </is>
      </c>
      <c r="D2369">
        <f>HYPERLINK("https://www.youtube.com/watch?v=WX_vN1QYgmE&amp;t=18s", "Go to time")</f>
        <v/>
      </c>
    </row>
    <row r="2370">
      <c r="A2370">
        <f>HYPERLINK("https://www.youtube.com/watch?v=z0HsPBKfhoI", "Video")</f>
        <v/>
      </c>
      <c r="B2370" t="inlineStr">
        <is>
          <t>1:44</t>
        </is>
      </c>
      <c r="C2370" t="inlineStr">
        <is>
          <t>where, driven by refusal to accept
the limits of our bodies and our minds,</t>
        </is>
      </c>
      <c r="D2370">
        <f>HYPERLINK("https://www.youtube.com/watch?v=z0HsPBKfhoI&amp;t=104s", "Go to time")</f>
        <v/>
      </c>
    </row>
    <row r="2371">
      <c r="A2371">
        <f>HYPERLINK("https://www.youtube.com/watch?v=0-F3ufYQgNk", "Video")</f>
        <v/>
      </c>
      <c r="B2371" t="inlineStr">
        <is>
          <t>2:33</t>
        </is>
      </c>
      <c r="C2371" t="inlineStr">
        <is>
          <t>and that the US has become
the principal driver</t>
        </is>
      </c>
      <c r="D2371">
        <f>HYPERLINK("https://www.youtube.com/watch?v=0-F3ufYQgNk&amp;t=153s", "Go to time")</f>
        <v/>
      </c>
    </row>
    <row r="2372">
      <c r="A2372">
        <f>HYPERLINK("https://www.youtube.com/watch?v=V56A6SHbI1Q", "Video")</f>
        <v/>
      </c>
      <c r="B2372" t="inlineStr">
        <is>
          <t>1:25</t>
        </is>
      </c>
      <c r="C2372" t="inlineStr">
        <is>
          <t>or they're learning to drive
or their first kiss.</t>
        </is>
      </c>
      <c r="D2372">
        <f>HYPERLINK("https://www.youtube.com/watch?v=V56A6SHbI1Q&amp;t=85s", "Go to time")</f>
        <v/>
      </c>
    </row>
    <row r="2373">
      <c r="A2373">
        <f>HYPERLINK("https://www.youtube.com/watch?v=TS6lFDVR-3g", "Video")</f>
        <v/>
      </c>
      <c r="B2373" t="inlineStr">
        <is>
          <t>3:11</t>
        </is>
      </c>
      <c r="C2373" t="inlineStr">
        <is>
          <t>This is driven in part by a shift
in the release of the hormone melatonin.</t>
        </is>
      </c>
      <c r="D2373">
        <f>HYPERLINK("https://www.youtube.com/watch?v=TS6lFDVR-3g&amp;t=191s", "Go to time")</f>
        <v/>
      </c>
    </row>
    <row r="2374">
      <c r="A2374">
        <f>HYPERLINK("https://www.youtube.com/watch?v=TS6lFDVR-3g", "Video")</f>
        <v/>
      </c>
      <c r="B2374" t="inlineStr">
        <is>
          <t>6:27</t>
        </is>
      </c>
      <c r="C2374" t="inlineStr">
        <is>
          <t>with a newly minted driver's license,</t>
        </is>
      </c>
      <c r="D2374">
        <f>HYPERLINK("https://www.youtube.com/watch?v=TS6lFDVR-3g&amp;t=387s", "Go to time")</f>
        <v/>
      </c>
    </row>
    <row r="2375">
      <c r="A2375">
        <f>HYPERLINK("https://www.youtube.com/watch?v=jlhtTKPkg5M", "Video")</f>
        <v/>
      </c>
      <c r="B2375" t="inlineStr">
        <is>
          <t>4:22</t>
        </is>
      </c>
      <c r="C2375" t="inlineStr">
        <is>
          <t>are not driven
by our rational, logical minds.</t>
        </is>
      </c>
      <c r="D2375">
        <f>HYPERLINK("https://www.youtube.com/watch?v=jlhtTKPkg5M&amp;t=262s", "Go to time")</f>
        <v/>
      </c>
    </row>
    <row r="2376">
      <c r="A2376">
        <f>HYPERLINK("https://www.youtube.com/watch?v=jlhtTKPkg5M", "Video")</f>
        <v/>
      </c>
      <c r="B2376" t="inlineStr">
        <is>
          <t>6:20</t>
        </is>
      </c>
      <c r="C2376" t="inlineStr">
        <is>
          <t>They drive a Mercedes, but their budget
really only can afford a Honda.</t>
        </is>
      </c>
      <c r="D2376">
        <f>HYPERLINK("https://www.youtube.com/watch?v=jlhtTKPkg5M&amp;t=380s", "Go to time")</f>
        <v/>
      </c>
    </row>
    <row r="2377">
      <c r="A2377">
        <f>HYPERLINK("https://www.youtube.com/watch?v=Kcq-FxK-GK0", "Video")</f>
        <v/>
      </c>
      <c r="B2377" t="inlineStr">
        <is>
          <t>1:53</t>
        </is>
      </c>
      <c r="C2377" t="inlineStr">
        <is>
          <t>CK: Because, as Keolu likes to remind me,
what's a genome if not a giant hard drive?</t>
        </is>
      </c>
      <c r="D2377">
        <f>HYPERLINK("https://www.youtube.com/watch?v=Kcq-FxK-GK0&amp;t=113s", "Go to time")</f>
        <v/>
      </c>
    </row>
    <row r="2378">
      <c r="A2378">
        <f>HYPERLINK("https://www.youtube.com/watch?v=Kcq-FxK-GK0", "Video")</f>
        <v/>
      </c>
      <c r="B2378" t="inlineStr">
        <is>
          <t>6:47</t>
        </is>
      </c>
      <c r="C2378" t="inlineStr">
        <is>
          <t>we'd be out there planting
acres and acres of these sugar drives,</t>
        </is>
      </c>
      <c r="D2378">
        <f>HYPERLINK("https://www.youtube.com/watch?v=Kcq-FxK-GK0&amp;t=407s", "Go to time")</f>
        <v/>
      </c>
    </row>
    <row r="2379">
      <c r="A2379">
        <f>HYPERLINK("https://www.youtube.com/watch?v=Kcq-FxK-GK0", "Video")</f>
        <v/>
      </c>
      <c r="B2379" t="inlineStr">
        <is>
          <t>7:02</t>
        </is>
      </c>
      <c r="C2379" t="inlineStr">
        <is>
          <t>KF: We believe that sugar drives
are just a small part of the solution.</t>
        </is>
      </c>
      <c r="D2379">
        <f>HYPERLINK("https://www.youtube.com/watch?v=Kcq-FxK-GK0&amp;t=422s", "Go to time")</f>
        <v/>
      </c>
    </row>
    <row r="2380">
      <c r="A2380">
        <f>HYPERLINK("https://www.youtube.com/watch?v=SxK5qD8sNL4", "Video")</f>
        <v/>
      </c>
      <c r="B2380" t="inlineStr">
        <is>
          <t>2:35</t>
        </is>
      </c>
      <c r="C2380" t="inlineStr">
        <is>
          <t>industrialized nations that have profited
from fossil-fuel-driven development</t>
        </is>
      </c>
      <c r="D2380">
        <f>HYPERLINK("https://www.youtube.com/watch?v=SxK5qD8sNL4&amp;t=155s", "Go to time")</f>
        <v/>
      </c>
    </row>
    <row r="2381">
      <c r="A2381">
        <f>HYPERLINK("https://www.youtube.com/watch?v=ku1ht_ZAU-w", "Video")</f>
        <v/>
      </c>
      <c r="B2381" t="inlineStr">
        <is>
          <t>0:29</t>
        </is>
      </c>
      <c r="C2381" t="inlineStr">
        <is>
          <t>an audacious plan to drive 130
massive offshore turbines</t>
        </is>
      </c>
      <c r="D2381">
        <f>HYPERLINK("https://www.youtube.com/watch?v=ku1ht_ZAU-w&amp;t=29s", "Go to time")</f>
        <v/>
      </c>
    </row>
    <row r="2382">
      <c r="A2382">
        <f>HYPERLINK("https://www.youtube.com/watch?v=ku1ht_ZAU-w", "Video")</f>
        <v/>
      </c>
      <c r="B2382" t="inlineStr">
        <is>
          <t>2:43</t>
        </is>
      </c>
      <c r="C2382" t="inlineStr">
        <is>
          <t>even the policies
to drive down global emissions</t>
        </is>
      </c>
      <c r="D2382">
        <f>HYPERLINK("https://www.youtube.com/watch?v=ku1ht_ZAU-w&amp;t=163s", "Go to time")</f>
        <v/>
      </c>
    </row>
    <row r="2383">
      <c r="A2383">
        <f>HYPERLINK("https://www.youtube.com/watch?v=lJUrQKY_A5g", "Video")</f>
        <v/>
      </c>
      <c r="B2383" t="inlineStr">
        <is>
          <t>0:36</t>
        </is>
      </c>
      <c r="C2383" t="inlineStr">
        <is>
          <t>and drive them halfway across town?</t>
        </is>
      </c>
      <c r="D2383">
        <f>HYPERLINK("https://www.youtube.com/watch?v=lJUrQKY_A5g&amp;t=36s", "Go to time")</f>
        <v/>
      </c>
    </row>
    <row r="2384">
      <c r="A2384">
        <f>HYPERLINK("https://www.youtube.com/watch?v=lJUrQKY_A5g", "Video")</f>
        <v/>
      </c>
      <c r="B2384" t="inlineStr">
        <is>
          <t>1:05</t>
        </is>
      </c>
      <c r="C2384" t="inlineStr">
        <is>
          <t>three moms started a company
called HopSkipDrive,</t>
        </is>
      </c>
      <c r="D2384">
        <f>HYPERLINK("https://www.youtube.com/watch?v=lJUrQKY_A5g&amp;t=65s", "Go to time")</f>
        <v/>
      </c>
    </row>
    <row r="2385">
      <c r="A2385">
        <f>HYPERLINK("https://www.youtube.com/watch?v=lJUrQKY_A5g", "Video")</f>
        <v/>
      </c>
      <c r="B2385" t="inlineStr">
        <is>
          <t>1:42</t>
        </is>
      </c>
      <c r="C2385" t="inlineStr">
        <is>
          <t>Customers don't necessarily
trust HopSkip drivers --</t>
        </is>
      </c>
      <c r="D2385">
        <f>HYPERLINK("https://www.youtube.com/watch?v=lJUrQKY_A5g&amp;t=102s", "Go to time")</f>
        <v/>
      </c>
    </row>
    <row r="2386">
      <c r="A2386">
        <f>HYPERLINK("https://www.youtube.com/watch?v=lJUrQKY_A5g", "Video")</f>
        <v/>
      </c>
      <c r="B2386" t="inlineStr">
        <is>
          <t>1:47</t>
        </is>
      </c>
      <c r="C2386" t="inlineStr">
        <is>
          <t>But they do trust
the HopSkipDrive system --</t>
        </is>
      </c>
      <c r="D2386">
        <f>HYPERLINK("https://www.youtube.com/watch?v=lJUrQKY_A5g&amp;t=107s", "Go to time")</f>
        <v/>
      </c>
    </row>
    <row r="2387">
      <c r="A2387">
        <f>HYPERLINK("https://www.youtube.com/watch?v=lJUrQKY_A5g", "Video")</f>
        <v/>
      </c>
      <c r="B2387" t="inlineStr">
        <is>
          <t>6:11</t>
        </is>
      </c>
      <c r="C2387" t="inlineStr">
        <is>
          <t>HopSkipDrive does access well.</t>
        </is>
      </c>
      <c r="D2387">
        <f>HYPERLINK("https://www.youtube.com/watch?v=lJUrQKY_A5g&amp;t=371s", "Go to time")</f>
        <v/>
      </c>
    </row>
    <row r="2388">
      <c r="A2388">
        <f>HYPERLINK("https://www.youtube.com/watch?v=lJUrQKY_A5g", "Video")</f>
        <v/>
      </c>
      <c r="B2388" t="inlineStr">
        <is>
          <t>6:13</t>
        </is>
      </c>
      <c r="C2388" t="inlineStr">
        <is>
          <t>It takes the drivers
through a strict background check</t>
        </is>
      </c>
      <c r="D2388">
        <f>HYPERLINK("https://www.youtube.com/watch?v=lJUrQKY_A5g&amp;t=373s", "Go to time")</f>
        <v/>
      </c>
    </row>
    <row r="2389">
      <c r="A2389">
        <f>HYPERLINK("https://www.youtube.com/watch?v=lJUrQKY_A5g", "Video")</f>
        <v/>
      </c>
      <c r="B2389" t="inlineStr">
        <is>
          <t>6:24</t>
        </is>
      </c>
      <c r="C2389" t="inlineStr">
        <is>
          <t>so drivers know they can be terminated</t>
        </is>
      </c>
      <c r="D2389">
        <f>HYPERLINK("https://www.youtube.com/watch?v=lJUrQKY_A5g&amp;t=384s", "Go to time")</f>
        <v/>
      </c>
    </row>
    <row r="2390">
      <c r="A2390">
        <f>HYPERLINK("https://www.youtube.com/watch?v=lJUrQKY_A5g", "Video")</f>
        <v/>
      </c>
      <c r="B2390" t="inlineStr">
        <is>
          <t>7:33</t>
        </is>
      </c>
      <c r="C2390" t="inlineStr">
        <is>
          <t>and it dictates to the driver
the best route to take,</t>
        </is>
      </c>
      <c r="D2390">
        <f>HYPERLINK("https://www.youtube.com/watch?v=lJUrQKY_A5g&amp;t=453s", "Go to time")</f>
        <v/>
      </c>
    </row>
    <row r="2391">
      <c r="A2391">
        <f>HYPERLINK("https://www.youtube.com/watch?v=lJUrQKY_A5g", "Video")</f>
        <v/>
      </c>
      <c r="B2391" t="inlineStr">
        <is>
          <t>7:36</t>
        </is>
      </c>
      <c r="C2391" t="inlineStr">
        <is>
          <t>so the passenger trusts the driver
will not take the longer route</t>
        </is>
      </c>
      <c r="D2391">
        <f>HYPERLINK("https://www.youtube.com/watch?v=lJUrQKY_A5g&amp;t=456s", "Go to time")</f>
        <v/>
      </c>
    </row>
    <row r="2392">
      <c r="A2392">
        <f>HYPERLINK("https://www.youtube.com/watch?v=rE_SxmltgmA", "Video")</f>
        <v/>
      </c>
      <c r="B2392" t="inlineStr">
        <is>
          <t>6:12</t>
        </is>
      </c>
      <c r="C2392" t="inlineStr">
        <is>
          <t>So I was driven
through the streets of Moscow,</t>
        </is>
      </c>
      <c r="D2392">
        <f>HYPERLINK("https://www.youtube.com/watch?v=rE_SxmltgmA&amp;t=372s", "Go to time")</f>
        <v/>
      </c>
    </row>
    <row r="2393">
      <c r="A2393">
        <f>HYPERLINK("https://www.youtube.com/watch?v=sCjfVrmkdDQ", "Video")</f>
        <v/>
      </c>
      <c r="B2393" t="inlineStr">
        <is>
          <t>3:10</t>
        </is>
      </c>
      <c r="C2393" t="inlineStr">
        <is>
          <t>we call it Drive Electric,
and it's already shaking things up.</t>
        </is>
      </c>
      <c r="D2393">
        <f>HYPERLINK("https://www.youtube.com/watch?v=sCjfVrmkdDQ&amp;t=190s", "Go to time")</f>
        <v/>
      </c>
    </row>
    <row r="2394">
      <c r="A2394">
        <f>HYPERLINK("https://www.youtube.com/watch?v=sCjfVrmkdDQ", "Video")</f>
        <v/>
      </c>
      <c r="B2394" t="inlineStr">
        <is>
          <t>3:53</t>
        </is>
      </c>
      <c r="C2394" t="inlineStr">
        <is>
          <t>CA: So Monica, what’s the overall goal
of the Drive Electric campaign?</t>
        </is>
      </c>
      <c r="D2394">
        <f>HYPERLINK("https://www.youtube.com/watch?v=sCjfVrmkdDQ&amp;t=233s", "Go to time")</f>
        <v/>
      </c>
    </row>
    <row r="2395">
      <c r="A2395">
        <f>HYPERLINK("https://www.youtube.com/watch?v=sCjfVrmkdDQ", "Video")</f>
        <v/>
      </c>
      <c r="B2395" t="inlineStr">
        <is>
          <t>7:17</t>
        </is>
      </c>
      <c r="C2395" t="inlineStr">
        <is>
          <t>So that's why we're saying Drive Electric
is the most ambitious coalition</t>
        </is>
      </c>
      <c r="D2395">
        <f>HYPERLINK("https://www.youtube.com/watch?v=sCjfVrmkdDQ&amp;t=437s", "Go to time")</f>
        <v/>
      </c>
    </row>
    <row r="2396">
      <c r="A2396">
        <f>HYPERLINK("https://www.youtube.com/watch?v=sCjfVrmkdDQ", "Video")</f>
        <v/>
      </c>
      <c r="B2396" t="inlineStr">
        <is>
          <t>8:12</t>
        </is>
      </c>
      <c r="C2396" t="inlineStr">
        <is>
          <t>Drive Electric and TED and Countdown</t>
        </is>
      </c>
      <c r="D2396">
        <f>HYPERLINK("https://www.youtube.com/watch?v=sCjfVrmkdDQ&amp;t=492s", "Go to time")</f>
        <v/>
      </c>
    </row>
    <row r="2397">
      <c r="A2397">
        <f>HYPERLINK("https://www.youtube.com/watch?v=sCjfVrmkdDQ", "Video")</f>
        <v/>
      </c>
      <c r="B2397" t="inlineStr">
        <is>
          <t>8:49</t>
        </is>
      </c>
      <c r="C2397" t="inlineStr">
        <is>
          <t>already committed by the founding
donors of Drive Electric,</t>
        </is>
      </c>
      <c r="D2397">
        <f>HYPERLINK("https://www.youtube.com/watch?v=sCjfVrmkdDQ&amp;t=529s", "Go to time")</f>
        <v/>
      </c>
    </row>
    <row r="2398">
      <c r="A2398">
        <f>HYPERLINK("https://www.youtube.com/watch?v=mvRoOyY40yI", "Video")</f>
        <v/>
      </c>
      <c r="B2398" t="inlineStr">
        <is>
          <t>3:21</t>
        </is>
      </c>
      <c r="C2398" t="inlineStr">
        <is>
          <t>And there, we're looking
at two categories of drivers</t>
        </is>
      </c>
      <c r="D2398">
        <f>HYPERLINK("https://www.youtube.com/watch?v=mvRoOyY40yI&amp;t=201s", "Go to time")</f>
        <v/>
      </c>
    </row>
    <row r="2399">
      <c r="A2399">
        <f>HYPERLINK("https://www.youtube.com/watch?v=mvRoOyY40yI", "Video")</f>
        <v/>
      </c>
      <c r="B2399" t="inlineStr">
        <is>
          <t>3:27</t>
        </is>
      </c>
      <c r="C2399" t="inlineStr">
        <is>
          <t>And one is a purely market-driven one
where a customer demands a green product,</t>
        </is>
      </c>
      <c r="D2399">
        <f>HYPERLINK("https://www.youtube.com/watch?v=mvRoOyY40yI&amp;t=207s", "Go to time")</f>
        <v/>
      </c>
    </row>
    <row r="2400">
      <c r="A2400">
        <f>HYPERLINK("https://www.youtube.com/watch?v=IcaDZK1Njb0", "Video")</f>
        <v/>
      </c>
      <c r="B2400" t="inlineStr">
        <is>
          <t>2:44</t>
        </is>
      </c>
      <c r="C2400" t="inlineStr">
        <is>
          <t>We see similar hygiene-driven responses
in some colony-living mammals.</t>
        </is>
      </c>
      <c r="D2400">
        <f>HYPERLINK("https://www.youtube.com/watch?v=IcaDZK1Njb0&amp;t=164s", "Go to time")</f>
        <v/>
      </c>
    </row>
    <row r="2401">
      <c r="A2401">
        <f>HYPERLINK("https://www.youtube.com/watch?v=IcaDZK1Njb0", "Video")</f>
        <v/>
      </c>
      <c r="B2401" t="inlineStr">
        <is>
          <t>12:43</t>
        </is>
      </c>
      <c r="C2401" t="inlineStr">
        <is>
          <t>like insects, they may have
a strong adaptive driver</t>
        </is>
      </c>
      <c r="D2401">
        <f>HYPERLINK("https://www.youtube.com/watch?v=IcaDZK1Njb0&amp;t=763s", "Go to time")</f>
        <v/>
      </c>
    </row>
    <row r="2402">
      <c r="A2402">
        <f>HYPERLINK("https://www.youtube.com/watch?v=FaLBcSMVVuU", "Video")</f>
        <v/>
      </c>
      <c r="B2402" t="inlineStr">
        <is>
          <t>11:34</t>
        </is>
      </c>
      <c r="C2402" t="inlineStr">
        <is>
          <t>you’ll see that it was driven
by a very effective goal distribution:</t>
        </is>
      </c>
      <c r="D2402">
        <f>HYPERLINK("https://www.youtube.com/watch?v=FaLBcSMVVuU&amp;t=694s", "Go to time")</f>
        <v/>
      </c>
    </row>
    <row r="2403">
      <c r="A2403">
        <f>HYPERLINK("https://www.youtube.com/watch?v=FaLBcSMVVuU", "Video")</f>
        <v/>
      </c>
      <c r="B2403" t="inlineStr">
        <is>
          <t>12:30</t>
        </is>
      </c>
      <c r="C2403" t="inlineStr">
        <is>
          <t>driven by a negative shot differential,</t>
        </is>
      </c>
      <c r="D2403">
        <f>HYPERLINK("https://www.youtube.com/watch?v=FaLBcSMVVuU&amp;t=750s", "Go to time")</f>
        <v/>
      </c>
    </row>
    <row r="2404">
      <c r="A2404">
        <f>HYPERLINK("https://www.youtube.com/watch?v=cM6JpalAtq0", "Video")</f>
        <v/>
      </c>
      <c r="B2404" t="inlineStr">
        <is>
          <t>5:21</t>
        </is>
      </c>
      <c r="C2404" t="inlineStr">
        <is>
          <t>are in the driver's seat</t>
        </is>
      </c>
      <c r="D2404">
        <f>HYPERLINK("https://www.youtube.com/watch?v=cM6JpalAtq0&amp;t=321s", "Go to time")</f>
        <v/>
      </c>
    </row>
    <row r="2405">
      <c r="A2405">
        <f>HYPERLINK("https://www.youtube.com/watch?v=UxQDG6WQT5s", "Video")</f>
        <v/>
      </c>
      <c r="B2405" t="inlineStr">
        <is>
          <t>6:01</t>
        </is>
      </c>
      <c r="C2405" t="inlineStr">
        <is>
          <t>one of the first AI-driven
public installations in the world,</t>
        </is>
      </c>
      <c r="D2405">
        <f>HYPERLINK("https://www.youtube.com/watch?v=UxQDG6WQT5s&amp;t=361s", "Go to time")</f>
        <v/>
      </c>
    </row>
    <row r="2406">
      <c r="A2406">
        <f>HYPERLINK("https://www.youtube.com/watch?v=UxQDG6WQT5s", "Video")</f>
        <v/>
      </c>
      <c r="B2406" t="inlineStr">
        <is>
          <t>6:45</t>
        </is>
      </c>
      <c r="C2406" t="inlineStr">
        <is>
          <t>was a user-driven immersive space.</t>
        </is>
      </c>
      <c r="D2406">
        <f>HYPERLINK("https://www.youtube.com/watch?v=UxQDG6WQT5s&amp;t=405s", "Go to time")</f>
        <v/>
      </c>
    </row>
    <row r="2407">
      <c r="A2407">
        <f>HYPERLINK("https://www.youtube.com/watch?v=lrUQn26zp_c", "Video")</f>
        <v/>
      </c>
      <c r="B2407" t="inlineStr">
        <is>
          <t>1:59</t>
        </is>
      </c>
      <c r="C2407" t="inlineStr">
        <is>
          <t>that are driven not
by the chronic wastefulness</t>
        </is>
      </c>
      <c r="D2407">
        <f>HYPERLINK("https://www.youtube.com/watch?v=lrUQn26zp_c&amp;t=119s", "Go to time")</f>
        <v/>
      </c>
    </row>
    <row r="2408">
      <c r="A2408">
        <f>HYPERLINK("https://www.youtube.com/watch?v=lrUQn26zp_c", "Video")</f>
        <v/>
      </c>
      <c r="B2408" t="inlineStr">
        <is>
          <t>3:36</t>
        </is>
      </c>
      <c r="C2408" t="inlineStr">
        <is>
          <t>driven by the latest opinion poll,</t>
        </is>
      </c>
      <c r="D2408">
        <f>HYPERLINK("https://www.youtube.com/watch?v=lrUQn26zp_c&amp;t=216s", "Go to time")</f>
        <v/>
      </c>
    </row>
    <row r="2409">
      <c r="A2409">
        <f>HYPERLINK("https://www.youtube.com/watch?v=kTS1jJgXsfw", "Video")</f>
        <v/>
      </c>
      <c r="B2409" t="inlineStr">
        <is>
          <t>2:51</t>
        </is>
      </c>
      <c r="C2409" t="inlineStr">
        <is>
          <t>with top-down, opinion-driven edicts</t>
        </is>
      </c>
      <c r="D2409">
        <f>HYPERLINK("https://www.youtube.com/watch?v=kTS1jJgXsfw&amp;t=171s", "Go to time")</f>
        <v/>
      </c>
    </row>
    <row r="2410">
      <c r="A2410">
        <f>HYPERLINK("https://www.youtube.com/watch?v=kTS1jJgXsfw", "Video")</f>
        <v/>
      </c>
      <c r="B2410" t="inlineStr">
        <is>
          <t>5:29</t>
        </is>
      </c>
      <c r="C2410" t="inlineStr">
        <is>
          <t>Number two, be data-driven.</t>
        </is>
      </c>
      <c r="D2410">
        <f>HYPERLINK("https://www.youtube.com/watch?v=kTS1jJgXsfw&amp;t=329s", "Go to time")</f>
        <v/>
      </c>
    </row>
    <row r="2411">
      <c r="A2411">
        <f>HYPERLINK("https://www.youtube.com/watch?v=kTS1jJgXsfw", "Video")</f>
        <v/>
      </c>
      <c r="B2411" t="inlineStr">
        <is>
          <t>8:09</t>
        </is>
      </c>
      <c r="C2411" t="inlineStr">
        <is>
          <t>Number two, be data-driven.</t>
        </is>
      </c>
      <c r="D2411">
        <f>HYPERLINK("https://www.youtube.com/watch?v=kTS1jJgXsfw&amp;t=489s", "Go to time")</f>
        <v/>
      </c>
    </row>
    <row r="2412">
      <c r="A2412">
        <f>HYPERLINK("https://www.youtube.com/watch?v=KEz7EZcfVts", "Video")</f>
        <v/>
      </c>
      <c r="B2412" t="inlineStr">
        <is>
          <t>6:08</t>
        </is>
      </c>
      <c r="C2412" t="inlineStr">
        <is>
          <t>to champion an innovative,
market-driven approach to climate change.</t>
        </is>
      </c>
      <c r="D2412">
        <f>HYPERLINK("https://www.youtube.com/watch?v=KEz7EZcfVts&amp;t=368s", "Go to time")</f>
        <v/>
      </c>
    </row>
    <row r="2413">
      <c r="A2413">
        <f>HYPERLINK("https://www.youtube.com/watch?v=gWPFJgLAzu4", "Video")</f>
        <v/>
      </c>
      <c r="B2413" t="inlineStr">
        <is>
          <t>6:10</t>
        </is>
      </c>
      <c r="C2413" t="inlineStr">
        <is>
          <t>driven by a mysterious repulsive force
called dark energy.</t>
        </is>
      </c>
      <c r="D2413">
        <f>HYPERLINK("https://www.youtube.com/watch?v=gWPFJgLAzu4&amp;t=370s", "Go to time")</f>
        <v/>
      </c>
    </row>
    <row r="2414">
      <c r="A2414">
        <f>HYPERLINK("https://www.youtube.com/watch?v=lSPxeA6Z_m4", "Video")</f>
        <v/>
      </c>
      <c r="B2414" t="inlineStr">
        <is>
          <t>3:30</t>
        </is>
      </c>
      <c r="C2414" t="inlineStr">
        <is>
          <t>of what drives that initial, crucial jump
from one species to the next,</t>
        </is>
      </c>
      <c r="D2414">
        <f>HYPERLINK("https://www.youtube.com/watch?v=lSPxeA6Z_m4&amp;t=210s", "Go to time")</f>
        <v/>
      </c>
    </row>
    <row r="2415">
      <c r="A2415">
        <f>HYPERLINK("https://www.youtube.com/watch?v=3VTsIju1dLI", "Video")</f>
        <v/>
      </c>
      <c r="B2415" t="inlineStr">
        <is>
          <t>6:21</t>
        </is>
      </c>
      <c r="C2415" t="inlineStr">
        <is>
          <t>then we have to talk about
the attention-driven business model</t>
        </is>
      </c>
      <c r="D2415">
        <f>HYPERLINK("https://www.youtube.com/watch?v=3VTsIju1dLI&amp;t=381s", "Go to time")</f>
        <v/>
      </c>
    </row>
    <row r="2416">
      <c r="A2416">
        <f>HYPERLINK("https://www.youtube.com/watch?v=3VTsIju1dLI", "Video")</f>
        <v/>
      </c>
      <c r="B2416" t="inlineStr">
        <is>
          <t>8:47</t>
        </is>
      </c>
      <c r="C2416" t="inlineStr">
        <is>
          <t>That feeling of inadequacy
is what drives you to post,</t>
        </is>
      </c>
      <c r="D2416">
        <f>HYPERLINK("https://www.youtube.com/watch?v=3VTsIju1dLI&amp;t=527s", "Go to time")</f>
        <v/>
      </c>
    </row>
    <row r="2417">
      <c r="A2417">
        <f>HYPERLINK("https://www.youtube.com/watch?v=3VTsIju1dLI", "Video")</f>
        <v/>
      </c>
      <c r="B2417" t="inlineStr">
        <is>
          <t>9:15</t>
        </is>
      </c>
      <c r="C2417" t="inlineStr">
        <is>
          <t>If your creativity is driven
by a desire to get attention,</t>
        </is>
      </c>
      <c r="D2417">
        <f>HYPERLINK("https://www.youtube.com/watch?v=3VTsIju1dLI&amp;t=555s", "Go to time")</f>
        <v/>
      </c>
    </row>
    <row r="2418">
      <c r="A2418">
        <f>HYPERLINK("https://www.youtube.com/watch?v=Pj9QnO9rZkE", "Video")</f>
        <v/>
      </c>
      <c r="B2418" t="inlineStr">
        <is>
          <t>1:23</t>
        </is>
      </c>
      <c r="C2418" t="inlineStr">
        <is>
          <t>that was driven by an expert in the field,</t>
        </is>
      </c>
      <c r="D2418">
        <f>HYPERLINK("https://www.youtube.com/watch?v=Pj9QnO9rZkE&amp;t=83s", "Go to time")</f>
        <v/>
      </c>
    </row>
    <row r="2419">
      <c r="A2419">
        <f>HYPERLINK("https://www.youtube.com/watch?v=Pj9QnO9rZkE", "Video")</f>
        <v/>
      </c>
      <c r="B2419" t="inlineStr">
        <is>
          <t>1:31</t>
        </is>
      </c>
      <c r="C2419" t="inlineStr">
        <is>
          <t>that's driven by an expert,
by a large institution,</t>
        </is>
      </c>
      <c r="D2419">
        <f>HYPERLINK("https://www.youtube.com/watch?v=Pj9QnO9rZkE&amp;t=91s", "Go to time")</f>
        <v/>
      </c>
    </row>
    <row r="2420">
      <c r="A2420">
        <f>HYPERLINK("https://www.youtube.com/watch?v=eKkI6-HeWXo", "Video")</f>
        <v/>
      </c>
      <c r="B2420" t="inlineStr">
        <is>
          <t>3:07</t>
        </is>
      </c>
      <c r="C2420" t="inlineStr">
        <is>
          <t>It tells the Uber driver
where the random place is,</t>
        </is>
      </c>
      <c r="D2420">
        <f>HYPERLINK("https://www.youtube.com/watch?v=eKkI6-HeWXo&amp;t=187s", "Go to time")</f>
        <v/>
      </c>
    </row>
    <row r="2421">
      <c r="A2421">
        <f>HYPERLINK("https://www.youtube.com/watch?v=eKkI6-HeWXo", "Video")</f>
        <v/>
      </c>
      <c r="B2421" t="inlineStr">
        <is>
          <t>3:26</t>
        </is>
      </c>
      <c r="C2421" t="inlineStr">
        <is>
          <t>there was an Uber driver
at my apartment door.</t>
        </is>
      </c>
      <c r="D2421">
        <f>HYPERLINK("https://www.youtube.com/watch?v=eKkI6-HeWXo&amp;t=206s", "Go to time")</f>
        <v/>
      </c>
    </row>
    <row r="2422">
      <c r="A2422">
        <f>HYPERLINK("https://www.youtube.com/watch?v=eKkI6-HeWXo", "Video")</f>
        <v/>
      </c>
      <c r="B2422" t="inlineStr">
        <is>
          <t>3:41</t>
        </is>
      </c>
      <c r="C2422" t="inlineStr">
        <is>
          <t>And when the driver told us
we had reached our destination,</t>
        </is>
      </c>
      <c r="D2422">
        <f>HYPERLINK("https://www.youtube.com/watch?v=eKkI6-HeWXo&amp;t=221s", "Go to time")</f>
        <v/>
      </c>
    </row>
    <row r="2423">
      <c r="A2423">
        <f>HYPERLINK("https://www.youtube.com/watch?v=eKkI6-HeWXo", "Video")</f>
        <v/>
      </c>
      <c r="B2423" t="inlineStr">
        <is>
          <t>5:46</t>
        </is>
      </c>
      <c r="C2423" t="inlineStr">
        <is>
          <t>the eighth grade band recital,
chess club, truck drivers school.</t>
        </is>
      </c>
      <c r="D2423">
        <f>HYPERLINK("https://www.youtube.com/watch?v=eKkI6-HeWXo&amp;t=346s", "Go to time")</f>
        <v/>
      </c>
    </row>
    <row r="2424">
      <c r="A2424">
        <f>HYPERLINK("https://www.youtube.com/watch?v=wRG5_-9eE4w", "Video")</f>
        <v/>
      </c>
      <c r="B2424" t="inlineStr">
        <is>
          <t>0:20</t>
        </is>
      </c>
      <c r="C2424" t="inlineStr">
        <is>
          <t>And every day I would drive
to this building</t>
        </is>
      </c>
      <c r="D2424">
        <f>HYPERLINK("https://www.youtube.com/watch?v=wRG5_-9eE4w&amp;t=20s", "Go to time")</f>
        <v/>
      </c>
    </row>
    <row r="2425">
      <c r="A2425">
        <f>HYPERLINK("https://www.youtube.com/watch?v=VU44eEKtcmQ", "Video")</f>
        <v/>
      </c>
      <c r="B2425" t="inlineStr">
        <is>
          <t>2:59</t>
        </is>
      </c>
      <c r="C2425" t="inlineStr">
        <is>
          <t>If your choices are mainly
driven by one partner</t>
        </is>
      </c>
      <c r="D2425">
        <f>HYPERLINK("https://www.youtube.com/watch?v=VU44eEKtcmQ&amp;t=179s", "Go to time")</f>
        <v/>
      </c>
    </row>
    <row r="2426">
      <c r="A2426">
        <f>HYPERLINK("https://www.youtube.com/watch?v=YOHpH4ZExWQ", "Video")</f>
        <v/>
      </c>
      <c r="B2426" t="inlineStr">
        <is>
          <t>0:14</t>
        </is>
      </c>
      <c r="C2426" t="inlineStr">
        <is>
          <t>driven by the work
of many people like Nass.</t>
        </is>
      </c>
      <c r="D2426">
        <f>HYPERLINK("https://www.youtube.com/watch?v=YOHpH4ZExWQ&amp;t=14s", "Go to time")</f>
        <v/>
      </c>
    </row>
    <row r="2427">
      <c r="A2427">
        <f>HYPERLINK("https://www.youtube.com/watch?v=YOHpH4ZExWQ", "Video")</f>
        <v/>
      </c>
      <c r="B2427" t="inlineStr">
        <is>
          <t>3:57</t>
        </is>
      </c>
      <c r="C2427" t="inlineStr">
        <is>
          <t>to drive home the story
of why renewables are better,</t>
        </is>
      </c>
      <c r="D2427">
        <f>HYPERLINK("https://www.youtube.com/watch?v=YOHpH4ZExWQ&amp;t=237s", "Go to time")</f>
        <v/>
      </c>
    </row>
    <row r="2428">
      <c r="A2428">
        <f>HYPERLINK("https://www.youtube.com/watch?v=6djPLVa9aQ4", "Video")</f>
        <v/>
      </c>
      <c r="B2428" t="inlineStr">
        <is>
          <t>7:24</t>
        </is>
      </c>
      <c r="C2428" t="inlineStr">
        <is>
          <t>A second answer is that part of these
differences is driven by external factors.</t>
        </is>
      </c>
      <c r="D2428">
        <f>HYPERLINK("https://www.youtube.com/watch?v=6djPLVa9aQ4&amp;t=444s", "Go to time")</f>
        <v/>
      </c>
    </row>
    <row r="2429">
      <c r="A2429">
        <f>HYPERLINK("https://www.youtube.com/watch?v=X6Wgd4v_yW8", "Video")</f>
        <v/>
      </c>
      <c r="B2429" t="inlineStr">
        <is>
          <t>2:29</t>
        </is>
      </c>
      <c r="C2429" t="inlineStr">
        <is>
          <t>So we have the economic conditions
to drive to scale.</t>
        </is>
      </c>
      <c r="D2429">
        <f>HYPERLINK("https://www.youtube.com/watch?v=X6Wgd4v_yW8&amp;t=149s", "Go to time")</f>
        <v/>
      </c>
    </row>
    <row r="2430">
      <c r="A2430">
        <f>HYPERLINK("https://www.youtube.com/watch?v=xgZC6da4mco", "Video")</f>
        <v/>
      </c>
      <c r="B2430" t="inlineStr">
        <is>
          <t>0:43</t>
        </is>
      </c>
      <c r="C2430" t="inlineStr">
        <is>
          <t>And if you could drive a car at highway
speed straight up in the air,</t>
        </is>
      </c>
      <c r="D2430">
        <f>HYPERLINK("https://www.youtube.com/watch?v=xgZC6da4mco&amp;t=43s", "Go to time")</f>
        <v/>
      </c>
    </row>
    <row r="2431">
      <c r="A2431">
        <f>HYPERLINK("https://www.youtube.com/watch?v=xgZC6da4mco", "Video")</f>
        <v/>
      </c>
      <c r="B2431" t="inlineStr">
        <is>
          <t>18:59</t>
        </is>
      </c>
      <c r="C2431" t="inlineStr">
        <is>
          <t>I think they're driven by incentives
that push them in the opposite direction.</t>
        </is>
      </c>
      <c r="D2431">
        <f>HYPERLINK("https://www.youtube.com/watch?v=xgZC6da4mco&amp;t=1139s", "Go to time")</f>
        <v/>
      </c>
    </row>
    <row r="2432">
      <c r="A2432">
        <f>HYPERLINK("https://www.youtube.com/watch?v=SNHUu7YkNjA", "Video")</f>
        <v/>
      </c>
      <c r="B2432" t="inlineStr">
        <is>
          <t>8:05</t>
        </is>
      </c>
      <c r="C2432" t="inlineStr">
        <is>
          <t>Agriculture has also driven us into a</t>
        </is>
      </c>
      <c r="D2432">
        <f>HYPERLINK("https://www.youtube.com/watch?v=SNHUu7YkNjA&amp;t=485s", "Go to time")</f>
        <v/>
      </c>
    </row>
    <row r="2433">
      <c r="A2433">
        <f>HYPERLINK("https://www.youtube.com/watch?v=SNHUu7YkNjA", "Video")</f>
        <v/>
      </c>
      <c r="B2433" t="inlineStr">
        <is>
          <t>15:41</t>
        </is>
      </c>
      <c r="C2433" t="inlineStr">
        <is>
          <t>understand what variables Drive what</t>
        </is>
      </c>
      <c r="D2433">
        <f>HYPERLINK("https://www.youtube.com/watch?v=SNHUu7YkNjA&amp;t=941s", "Go to time")</f>
        <v/>
      </c>
    </row>
    <row r="2434">
      <c r="A2434">
        <f>HYPERLINK("https://www.youtube.com/watch?v=SNHUu7YkNjA", "Video")</f>
        <v/>
      </c>
      <c r="B2434" t="inlineStr">
        <is>
          <t>18:40</t>
        </is>
      </c>
      <c r="C2434" t="inlineStr">
        <is>
          <t>points which is a big driver for</t>
        </is>
      </c>
      <c r="D2434">
        <f>HYPERLINK("https://www.youtube.com/watch?v=SNHUu7YkNjA&amp;t=1120s", "Go to time")</f>
        <v/>
      </c>
    </row>
    <row r="2435">
      <c r="A2435">
        <f>HYPERLINK("https://www.youtube.com/watch?v=SNHUu7YkNjA", "Video")</f>
        <v/>
      </c>
      <c r="B2435" t="inlineStr">
        <is>
          <t>22:19</t>
        </is>
      </c>
      <c r="C2435" t="inlineStr">
        <is>
          <t>drives itself through the field it looks</t>
        </is>
      </c>
      <c r="D2435">
        <f>HYPERLINK("https://www.youtube.com/watch?v=SNHUu7YkNjA&amp;t=1339s", "Go to time")</f>
        <v/>
      </c>
    </row>
    <row r="2436">
      <c r="A2436">
        <f>HYPERLINK("https://www.youtube.com/watch?v=SNHUu7YkNjA", "Video")</f>
        <v/>
      </c>
      <c r="B2436" t="inlineStr">
        <is>
          <t>39:36</t>
        </is>
      </c>
      <c r="C2436" t="inlineStr">
        <is>
          <t>that we're able to drive yield up in our</t>
        </is>
      </c>
      <c r="D2436">
        <f>HYPERLINK("https://www.youtube.com/watch?v=SNHUu7YkNjA&amp;t=2376s", "Go to time")</f>
        <v/>
      </c>
    </row>
    <row r="2437">
      <c r="A2437">
        <f>HYPERLINK("https://www.youtube.com/watch?v=SNHUu7YkNjA", "Video")</f>
        <v/>
      </c>
      <c r="B2437" t="inlineStr">
        <is>
          <t>64:09</t>
        </is>
      </c>
      <c r="C2437" t="inlineStr">
        <is>
          <t>have been used what are the big drivers</t>
        </is>
      </c>
      <c r="D2437">
        <f>HYPERLINK("https://www.youtube.com/watch?v=SNHUu7YkNjA&amp;t=3849s", "Go to time")</f>
        <v/>
      </c>
    </row>
    <row r="2438">
      <c r="A2438">
        <f>HYPERLINK("https://www.youtube.com/watch?v=Ix8Cz-veat4", "Video")</f>
        <v/>
      </c>
      <c r="B2438" t="inlineStr">
        <is>
          <t>4:29</t>
        </is>
      </c>
      <c r="C2438" t="inlineStr">
        <is>
          <t>Driven by the belief that it is often
people that look like me,</t>
        </is>
      </c>
      <c r="D2438">
        <f>HYPERLINK("https://www.youtube.com/watch?v=Ix8Cz-veat4&amp;t=269s", "Go to time")</f>
        <v/>
      </c>
    </row>
    <row r="2439">
      <c r="A2439">
        <f>HYPERLINK("https://www.youtube.com/watch?v=a4ZBzM3L6ws", "Video")</f>
        <v/>
      </c>
      <c r="B2439" t="inlineStr">
        <is>
          <t>1:34</t>
        </is>
      </c>
      <c r="C2439" t="inlineStr">
        <is>
          <t>like in Italy, where a truck driver
unloaded all the equipment</t>
        </is>
      </c>
      <c r="D2439">
        <f>HYPERLINK("https://www.youtube.com/watch?v=a4ZBzM3L6ws&amp;t=94s", "Go to time")</f>
        <v/>
      </c>
    </row>
    <row r="2440">
      <c r="A2440">
        <f>HYPERLINK("https://www.youtube.com/watch?v=d4Cy16uOdLM", "Video")</f>
        <v/>
      </c>
      <c r="B2440" t="inlineStr">
        <is>
          <t>0:15</t>
        </is>
      </c>
      <c r="C2440" t="inlineStr">
        <is>
          <t>drive it to zero by 2050.</t>
        </is>
      </c>
      <c r="D2440">
        <f>HYPERLINK("https://www.youtube.com/watch?v=d4Cy16uOdLM&amp;t=15s", "Go to time")</f>
        <v/>
      </c>
    </row>
    <row r="2441">
      <c r="A2441">
        <f>HYPERLINK("https://www.youtube.com/watch?v=d4Cy16uOdLM", "Video")</f>
        <v/>
      </c>
      <c r="B2441" t="inlineStr">
        <is>
          <t>8:15</t>
        </is>
      </c>
      <c r="C2441" t="inlineStr">
        <is>
          <t>Deployment is innovation
because deployment drives prices down.</t>
        </is>
      </c>
      <c r="D2441">
        <f>HYPERLINK("https://www.youtube.com/watch?v=d4Cy16uOdLM&amp;t=495s", "Go to time")</f>
        <v/>
      </c>
    </row>
    <row r="2442">
      <c r="A2442">
        <f>HYPERLINK("https://www.youtube.com/watch?v=d4Cy16uOdLM", "Video")</f>
        <v/>
      </c>
      <c r="B2442" t="inlineStr">
        <is>
          <t>9:02</t>
        </is>
      </c>
      <c r="C2442" t="inlineStr">
        <is>
          <t>that helped drive
the price down 80 percent.</t>
        </is>
      </c>
      <c r="D2442">
        <f>HYPERLINK("https://www.youtube.com/watch?v=d4Cy16uOdLM&amp;t=542s", "Go to time")</f>
        <v/>
      </c>
    </row>
    <row r="2443">
      <c r="A2443">
        <f>HYPERLINK("https://www.youtube.com/watch?v=d4Cy16uOdLM", "Video")</f>
        <v/>
      </c>
      <c r="B2443" t="inlineStr">
        <is>
          <t>13:46</t>
        </is>
      </c>
      <c r="C2443" t="inlineStr">
        <is>
          <t>I mean, we need to drive down
the cost of electrolysis,</t>
        </is>
      </c>
      <c r="D2443">
        <f>HYPERLINK("https://www.youtube.com/watch?v=d4Cy16uOdLM&amp;t=826s", "Go to time")</f>
        <v/>
      </c>
    </row>
    <row r="2444">
      <c r="A2444">
        <f>HYPERLINK("https://www.youtube.com/watch?v=a3zPgyvCiJI", "Video")</f>
        <v/>
      </c>
      <c r="B2444" t="inlineStr">
        <is>
          <t>3:51</t>
        </is>
      </c>
      <c r="C2444" t="inlineStr">
        <is>
          <t>You might not notice
when your drive is dwindling</t>
        </is>
      </c>
      <c r="D2444">
        <f>HYPERLINK("https://www.youtube.com/watch?v=a3zPgyvCiJI&amp;t=231s", "Go to time")</f>
        <v/>
      </c>
    </row>
    <row r="2445">
      <c r="A2445">
        <f>HYPERLINK("https://www.youtube.com/watch?v=a3zPgyvCiJI", "Video")</f>
        <v/>
      </c>
      <c r="B2445" t="inlineStr">
        <is>
          <t>9:06</t>
        </is>
      </c>
      <c r="C2445" t="inlineStr">
        <is>
          <t>drive past me to the finish line
in tiny go-carts.</t>
        </is>
      </c>
      <c r="D2445">
        <f>HYPERLINK("https://www.youtube.com/watch?v=a3zPgyvCiJI&amp;t=546s", "Go to time")</f>
        <v/>
      </c>
    </row>
    <row r="2446">
      <c r="A2446">
        <f>HYPERLINK("https://www.youtube.com/watch?v=Rw7TWQ-Rt2Q", "Video")</f>
        <v/>
      </c>
      <c r="B2446" t="inlineStr">
        <is>
          <t>1:32</t>
        </is>
      </c>
      <c r="C2446" t="inlineStr">
        <is>
          <t>Maybe you feel drawn to work
for a mission-driven company</t>
        </is>
      </c>
      <c r="D2446">
        <f>HYPERLINK("https://www.youtube.com/watch?v=Rw7TWQ-Rt2Q&amp;t=92s", "Go to time")</f>
        <v/>
      </c>
    </row>
    <row r="2447">
      <c r="A2447">
        <f>HYPERLINK("https://www.youtube.com/watch?v=UL95OYBRbOc", "Video")</f>
        <v/>
      </c>
      <c r="B2447" t="inlineStr">
        <is>
          <t>3:20</t>
        </is>
      </c>
      <c r="C2447" t="inlineStr">
        <is>
          <t>which would drive me absolutely crazy.</t>
        </is>
      </c>
      <c r="D2447">
        <f>HYPERLINK("https://www.youtube.com/watch?v=UL95OYBRbOc&amp;t=200s", "Go to time")</f>
        <v/>
      </c>
    </row>
    <row r="2448">
      <c r="A2448">
        <f>HYPERLINK("https://www.youtube.com/watch?v=nFEgRt2EH1g", "Video")</f>
        <v/>
      </c>
      <c r="B2448" t="inlineStr">
        <is>
          <t>3:32</t>
        </is>
      </c>
      <c r="C2448" t="inlineStr">
        <is>
          <t>The ambulance driver did not change
the siren just to mess with you.</t>
        </is>
      </c>
      <c r="D2448">
        <f>HYPERLINK("https://www.youtube.com/watch?v=nFEgRt2EH1g&amp;t=212s", "Go to time")</f>
        <v/>
      </c>
    </row>
    <row r="2449">
      <c r="A2449">
        <f>HYPERLINK("https://www.youtube.com/watch?v=b28brIs1OmM", "Video")</f>
        <v/>
      </c>
      <c r="B2449" t="inlineStr">
        <is>
          <t>6:27</t>
        </is>
      </c>
      <c r="C2449" t="inlineStr">
        <is>
          <t>[Be happy, it drives people crazy.]</t>
        </is>
      </c>
      <c r="D2449">
        <f>HYPERLINK("https://www.youtube.com/watch?v=b28brIs1OmM&amp;t=387s", "Go to time")</f>
        <v/>
      </c>
    </row>
    <row r="2450">
      <c r="A2450">
        <f>HYPERLINK("https://www.youtube.com/watch?v=dcsrHfPDP2M", "Video")</f>
        <v/>
      </c>
      <c r="B2450" t="inlineStr">
        <is>
          <t>4:45</t>
        </is>
      </c>
      <c r="C2450" t="inlineStr">
        <is>
          <t>And the only thing I could liken it to
is like learning to drive.</t>
        </is>
      </c>
      <c r="D2450">
        <f>HYPERLINK("https://www.youtube.com/watch?v=dcsrHfPDP2M&amp;t=285s", "Go to time")</f>
        <v/>
      </c>
    </row>
    <row r="2451">
      <c r="A2451">
        <f>HYPERLINK("https://www.youtube.com/watch?v=dcsrHfPDP2M", "Video")</f>
        <v/>
      </c>
      <c r="B2451" t="inlineStr">
        <is>
          <t>4:55</t>
        </is>
      </c>
      <c r="C2451" t="inlineStr">
        <is>
          <t>We've watched other people drive.</t>
        </is>
      </c>
      <c r="D2451">
        <f>HYPERLINK("https://www.youtube.com/watch?v=dcsrHfPDP2M&amp;t=295s", "Go to time")</f>
        <v/>
      </c>
    </row>
    <row r="2452">
      <c r="A2452">
        <f>HYPERLINK("https://www.youtube.com/watch?v=dcsrHfPDP2M", "Video")</f>
        <v/>
      </c>
      <c r="B2452" t="inlineStr">
        <is>
          <t>5:03</t>
        </is>
      </c>
      <c r="C2452" t="inlineStr">
        <is>
          <t>And then when you get into that driver's
seat yourself for the first time,</t>
        </is>
      </c>
      <c r="D2452">
        <f>HYPERLINK("https://www.youtube.com/watch?v=dcsrHfPDP2M&amp;t=303s", "Go to time")</f>
        <v/>
      </c>
    </row>
    <row r="2453">
      <c r="A2453">
        <f>HYPERLINK("https://www.youtube.com/watch?v=dcsrHfPDP2M", "Video")</f>
        <v/>
      </c>
      <c r="B2453" t="inlineStr">
        <is>
          <t>6:15</t>
        </is>
      </c>
      <c r="C2453" t="inlineStr">
        <is>
          <t>If learning how to tattoo body art
is like learning to drive a car,</t>
        </is>
      </c>
      <c r="D2453">
        <f>HYPERLINK("https://www.youtube.com/watch?v=dcsrHfPDP2M&amp;t=375s", "Go to time")</f>
        <v/>
      </c>
    </row>
    <row r="2454">
      <c r="A2454">
        <f>HYPERLINK("https://www.youtube.com/watch?v=dcsrHfPDP2M", "Video")</f>
        <v/>
      </c>
      <c r="B2454" t="inlineStr">
        <is>
          <t>6:28</t>
        </is>
      </c>
      <c r="C2454" t="inlineStr">
        <is>
          <t>would be like learning
to drive an Arctic lorry.</t>
        </is>
      </c>
      <c r="D2454">
        <f>HYPERLINK("https://www.youtube.com/watch?v=dcsrHfPDP2M&amp;t=388s", "Go to time")</f>
        <v/>
      </c>
    </row>
    <row r="2455">
      <c r="A2455">
        <f>HYPERLINK("https://www.youtube.com/watch?v=dcsrHfPDP2M", "Video")</f>
        <v/>
      </c>
      <c r="B2455" t="inlineStr">
        <is>
          <t>8:05</t>
        </is>
      </c>
      <c r="C2455" t="inlineStr">
        <is>
          <t>which would be like teaching someone
to drive an Arctic lorry in two days</t>
        </is>
      </c>
      <c r="D2455">
        <f>HYPERLINK("https://www.youtube.com/watch?v=dcsrHfPDP2M&amp;t=485s", "Go to time")</f>
        <v/>
      </c>
    </row>
    <row r="2456">
      <c r="A2456">
        <f>HYPERLINK("https://www.youtube.com/watch?v=dcsrHfPDP2M", "Video")</f>
        <v/>
      </c>
      <c r="B2456" t="inlineStr">
        <is>
          <t>8:09</t>
        </is>
      </c>
      <c r="C2456" t="inlineStr">
        <is>
          <t>and just handing them the keys
without them having ever driven a car,</t>
        </is>
      </c>
      <c r="D2456">
        <f>HYPERLINK("https://www.youtube.com/watch?v=dcsrHfPDP2M&amp;t=489s", "Go to time")</f>
        <v/>
      </c>
    </row>
    <row r="2457">
      <c r="A2457">
        <f>HYPERLINK("https://www.youtube.com/watch?v=Ji4sq73W7BM", "Video")</f>
        <v/>
      </c>
      <c r="B2457" t="inlineStr">
        <is>
          <t>7:50</t>
        </is>
      </c>
      <c r="C2457" t="inlineStr">
        <is>
          <t>And on a whim, he drives
producer Shima Oliaee and I</t>
        </is>
      </c>
      <c r="D2457">
        <f>HYPERLINK("https://www.youtube.com/watch?v=Ji4sq73W7BM&amp;t=470s", "Go to time")</f>
        <v/>
      </c>
    </row>
    <row r="2458">
      <c r="A2458">
        <f>HYPERLINK("https://www.youtube.com/watch?v=RIpz9GiEAyc", "Video")</f>
        <v/>
      </c>
      <c r="B2458" t="inlineStr">
        <is>
          <t>5:53</t>
        </is>
      </c>
      <c r="C2458" t="inlineStr">
        <is>
          <t>is driven by horror
or titillation or morbid curiosity.</t>
        </is>
      </c>
      <c r="D2458">
        <f>HYPERLINK("https://www.youtube.com/watch?v=RIpz9GiEAyc&amp;t=353s", "Go to time")</f>
        <v/>
      </c>
    </row>
    <row r="2459">
      <c r="A2459">
        <f>HYPERLINK("https://www.youtube.com/watch?v=RIpz9GiEAyc", "Video")</f>
        <v/>
      </c>
      <c r="B2459" t="inlineStr">
        <is>
          <t>7:12</t>
        </is>
      </c>
      <c r="C2459" t="inlineStr">
        <is>
          <t>sometimes the interest is driven</t>
        </is>
      </c>
      <c r="D2459">
        <f>HYPERLINK("https://www.youtube.com/watch?v=RIpz9GiEAyc&amp;t=432s", "Go to time")</f>
        <v/>
      </c>
    </row>
    <row r="2460">
      <c r="A2460">
        <f>HYPERLINK("https://www.youtube.com/watch?v=ngk7VVyveu8", "Video")</f>
        <v/>
      </c>
      <c r="B2460" t="inlineStr">
        <is>
          <t>9:18</t>
        </is>
      </c>
      <c r="C2460" t="inlineStr">
        <is>
          <t>and these revenues drive
what is needed for profitability.</t>
        </is>
      </c>
      <c r="D2460">
        <f>HYPERLINK("https://www.youtube.com/watch?v=ngk7VVyveu8&amp;t=558s", "Go to time")</f>
        <v/>
      </c>
    </row>
    <row r="2461">
      <c r="A2461">
        <f>HYPERLINK("https://www.youtube.com/watch?v=qaE194b_Dk8", "Video")</f>
        <v/>
      </c>
      <c r="B2461" t="inlineStr">
        <is>
          <t>3:56</t>
        </is>
      </c>
      <c r="C2461" t="inlineStr">
        <is>
          <t>musicians and lawyers,
drivers and architects --</t>
        </is>
      </c>
      <c r="D2461">
        <f>HYPERLINK("https://www.youtube.com/watch?v=qaE194b_Dk8&amp;t=236s", "Go to time")</f>
        <v/>
      </c>
    </row>
    <row r="2462">
      <c r="A2462">
        <f>HYPERLINK("https://www.youtube.com/watch?v=vc-n852sv3E", "Video")</f>
        <v/>
      </c>
      <c r="B2462" t="inlineStr">
        <is>
          <t>9:16</t>
        </is>
      </c>
      <c r="C2462" t="inlineStr">
        <is>
          <t>Crackdowns on buyers drive sellers
to take dangerous risks</t>
        </is>
      </c>
      <c r="D2462">
        <f>HYPERLINK("https://www.youtube.com/watch?v=vc-n852sv3E&amp;t=556s", "Go to time")</f>
        <v/>
      </c>
    </row>
    <row r="2463">
      <c r="A2463">
        <f>HYPERLINK("https://www.youtube.com/watch?v=WBqnzn77MEE", "Video")</f>
        <v/>
      </c>
      <c r="B2463" t="inlineStr">
        <is>
          <t>2:19</t>
        </is>
      </c>
      <c r="C2463" t="inlineStr">
        <is>
          <t>have been driven by academic research,</t>
        </is>
      </c>
      <c r="D2463">
        <f>HYPERLINK("https://www.youtube.com/watch?v=WBqnzn77MEE&amp;t=139s", "Go to time")</f>
        <v/>
      </c>
    </row>
    <row r="2464">
      <c r="A2464">
        <f>HYPERLINK("https://www.youtube.com/watch?v=WBqnzn77MEE", "Video")</f>
        <v/>
      </c>
      <c r="B2464" t="inlineStr">
        <is>
          <t>2:22</t>
        </is>
      </c>
      <c r="C2464" t="inlineStr">
        <is>
          <t>have been driven by enterprise desires,</t>
        </is>
      </c>
      <c r="D2464">
        <f>HYPERLINK("https://www.youtube.com/watch?v=WBqnzn77MEE&amp;t=142s", "Go to time")</f>
        <v/>
      </c>
    </row>
    <row r="2465">
      <c r="A2465">
        <f>HYPERLINK("https://www.youtube.com/watch?v=WBqnzn77MEE", "Video")</f>
        <v/>
      </c>
      <c r="B2465" t="inlineStr">
        <is>
          <t>11:42</t>
        </is>
      </c>
      <c r="C2465" t="inlineStr">
        <is>
          <t>that has driven a lot
of the curiosity, the creativity</t>
        </is>
      </c>
      <c r="D2465">
        <f>HYPERLINK("https://www.youtube.com/watch?v=WBqnzn77MEE&amp;t=702s", "Go to time")</f>
        <v/>
      </c>
    </row>
    <row r="2466">
      <c r="A2466">
        <f>HYPERLINK("https://www.youtube.com/watch?v=iw7nPE2jioU", "Video")</f>
        <v/>
      </c>
      <c r="B2466" t="inlineStr">
        <is>
          <t>8:52</t>
        </is>
      </c>
      <c r="C2466" t="inlineStr">
        <is>
          <t>So with Gen-U, they're going to be
in the driver's seat,</t>
        </is>
      </c>
      <c r="D2466">
        <f>HYPERLINK("https://www.youtube.com/watch?v=iw7nPE2jioU&amp;t=532s", "Go to time")</f>
        <v/>
      </c>
    </row>
    <row r="2467">
      <c r="A2467">
        <f>HYPERLINK("https://www.youtube.com/watch?v=_uUskajC1Ps", "Video")</f>
        <v/>
      </c>
      <c r="B2467" t="inlineStr">
        <is>
          <t>1:56</t>
        </is>
      </c>
      <c r="C2467" t="inlineStr">
        <is>
          <t>driven by the power
of spreading knowledge.</t>
        </is>
      </c>
      <c r="D2467">
        <f>HYPERLINK("https://www.youtube.com/watch?v=_uUskajC1Ps&amp;t=116s", "Go to time")</f>
        <v/>
      </c>
    </row>
    <row r="2468">
      <c r="A2468">
        <f>HYPERLINK("https://www.youtube.com/watch?v=_uUskajC1Ps", "Video")</f>
        <v/>
      </c>
      <c r="B2468" t="inlineStr">
        <is>
          <t>14:16</t>
        </is>
      </c>
      <c r="C2468" t="inlineStr">
        <is>
          <t>CA: I've always believed that ideas
are the biggest single driver of impact,</t>
        </is>
      </c>
      <c r="D2468">
        <f>HYPERLINK("https://www.youtube.com/watch?v=_uUskajC1Ps&amp;t=856s", "Go to time")</f>
        <v/>
      </c>
    </row>
    <row r="2469">
      <c r="A2469">
        <f>HYPERLINK("https://www.youtube.com/watch?v=K926HAKRFvw", "Video")</f>
        <v/>
      </c>
      <c r="B2469" t="inlineStr">
        <is>
          <t>5:34</t>
        </is>
      </c>
      <c r="C2469" t="inlineStr">
        <is>
          <t>Just changing the global drive,</t>
        </is>
      </c>
      <c r="D2469">
        <f>HYPERLINK("https://www.youtube.com/watch?v=K926HAKRFvw&amp;t=334s", "Go to time")</f>
        <v/>
      </c>
    </row>
    <row r="2470">
      <c r="A2470">
        <f>HYPERLINK("https://www.youtube.com/watch?v=_8vLkIj_Lsk", "Video")</f>
        <v/>
      </c>
      <c r="B2470" t="inlineStr">
        <is>
          <t>1:16</t>
        </is>
      </c>
      <c r="C2470" t="inlineStr">
        <is>
          <t>Number two: career changes
are often gut-driven.</t>
        </is>
      </c>
      <c r="D2470">
        <f>HYPERLINK("https://www.youtube.com/watch?v=_8vLkIj_Lsk&amp;t=76s", "Go to time")</f>
        <v/>
      </c>
    </row>
    <row r="2471">
      <c r="A2471">
        <f>HYPERLINK("https://www.youtube.com/watch?v=r9Zz4hYuGdw", "Video")</f>
        <v/>
      </c>
      <c r="B2471" t="inlineStr">
        <is>
          <t>4:45</t>
        </is>
      </c>
      <c r="C2471" t="inlineStr">
        <is>
          <t>In some cases, religion drives
many Africans to extraordinary length:</t>
        </is>
      </c>
      <c r="D2471">
        <f>HYPERLINK("https://www.youtube.com/watch?v=r9Zz4hYuGdw&amp;t=285s", "Go to time")</f>
        <v/>
      </c>
    </row>
    <row r="2472">
      <c r="A2472">
        <f>HYPERLINK("https://www.youtube.com/watch?v=6cL5Nud8d7w", "Video")</f>
        <v/>
      </c>
      <c r="B2472" t="inlineStr">
        <is>
          <t>1:20</t>
        </is>
      </c>
      <c r="C2472" t="inlineStr">
        <is>
          <t>and the temptation
is to drive them all the time,</t>
        </is>
      </c>
      <c r="D2472">
        <f>HYPERLINK("https://www.youtube.com/watch?v=6cL5Nud8d7w&amp;t=80s", "Go to time")</f>
        <v/>
      </c>
    </row>
    <row r="2473">
      <c r="A2473">
        <f>HYPERLINK("https://www.youtube.com/watch?v=6cL5Nud8d7w", "Video")</f>
        <v/>
      </c>
      <c r="B2473" t="inlineStr">
        <is>
          <t>1:26</t>
        </is>
      </c>
      <c r="C2473" t="inlineStr">
        <is>
          <t>that's as good as a drive or better.</t>
        </is>
      </c>
      <c r="D2473">
        <f>HYPERLINK("https://www.youtube.com/watch?v=6cL5Nud8d7w&amp;t=86s", "Go to time")</f>
        <v/>
      </c>
    </row>
    <row r="2474">
      <c r="A2474">
        <f>HYPERLINK("https://www.youtube.com/watch?v=6cL5Nud8d7w", "Video")</f>
        <v/>
      </c>
      <c r="B2474" t="inlineStr">
        <is>
          <t>5:47</t>
        </is>
      </c>
      <c r="C2474" t="inlineStr">
        <is>
          <t>And being a driver
can be a bit of a nuisance,</t>
        </is>
      </c>
      <c r="D2474">
        <f>HYPERLINK("https://www.youtube.com/watch?v=6cL5Nud8d7w&amp;t=347s", "Go to time")</f>
        <v/>
      </c>
    </row>
    <row r="2475">
      <c r="A2475">
        <f>HYPERLINK("https://www.youtube.com/watch?v=6cL5Nud8d7w", "Video")</f>
        <v/>
      </c>
      <c r="B2475" t="inlineStr">
        <is>
          <t>5:58</t>
        </is>
      </c>
      <c r="C2475" t="inlineStr">
        <is>
          <t>The fact that we have a society
where you drive to the parking lot</t>
        </is>
      </c>
      <c r="D2475">
        <f>HYPERLINK("https://www.youtube.com/watch?v=6cL5Nud8d7w&amp;t=358s", "Go to time")</f>
        <v/>
      </c>
    </row>
    <row r="2476">
      <c r="A2476">
        <f>HYPERLINK("https://www.youtube.com/watch?v=gub38Cd4E0g", "Video")</f>
        <v/>
      </c>
      <c r="B2476" t="inlineStr">
        <is>
          <t>6:49</t>
        </is>
      </c>
      <c r="C2476" t="inlineStr">
        <is>
          <t>Its cars are driven everywhere
on the streets of Beijing and Shanghai.</t>
        </is>
      </c>
      <c r="D2476">
        <f>HYPERLINK("https://www.youtube.com/watch?v=gub38Cd4E0g&amp;t=409s", "Go to time")</f>
        <v/>
      </c>
    </row>
    <row r="2477">
      <c r="A2477">
        <f>HYPERLINK("https://www.youtube.com/watch?v=qMppKiqMpAk", "Video")</f>
        <v/>
      </c>
      <c r="B2477" t="inlineStr">
        <is>
          <t>3:29</t>
        </is>
      </c>
      <c r="C2477" t="inlineStr">
        <is>
          <t>The reason that fundamentally stars
drive atmospheric escape from planets</t>
        </is>
      </c>
      <c r="D2477">
        <f>HYPERLINK("https://www.youtube.com/watch?v=qMppKiqMpAk&amp;t=209s", "Go to time")</f>
        <v/>
      </c>
    </row>
    <row r="2478">
      <c r="A2478">
        <f>HYPERLINK("https://www.youtube.com/watch?v=9mAg3_A6ye8", "Video")</f>
        <v/>
      </c>
      <c r="B2478" t="inlineStr">
        <is>
          <t>2:56</t>
        </is>
      </c>
      <c r="C2478" t="inlineStr">
        <is>
          <t>we have to dramatically drive down
the cost of higher education,</t>
        </is>
      </c>
      <c r="D2478">
        <f>HYPERLINK("https://www.youtube.com/watch?v=9mAg3_A6ye8&amp;t=176s", "Go to time")</f>
        <v/>
      </c>
    </row>
    <row r="2479">
      <c r="A2479">
        <f>HYPERLINK("https://www.youtube.com/watch?v=9mAg3_A6ye8", "Video")</f>
        <v/>
      </c>
      <c r="B2479" t="inlineStr">
        <is>
          <t>3:45</t>
        </is>
      </c>
      <c r="C2479" t="inlineStr">
        <is>
          <t>This really makes it problematic
to drive down cost,</t>
        </is>
      </c>
      <c r="D2479">
        <f>HYPERLINK("https://www.youtube.com/watch?v=9mAg3_A6ye8&amp;t=225s", "Go to time")</f>
        <v/>
      </c>
    </row>
    <row r="2480">
      <c r="A2480">
        <f>HYPERLINK("https://www.youtube.com/watch?v=9mAg3_A6ye8", "Video")</f>
        <v/>
      </c>
      <c r="B2480" t="inlineStr">
        <is>
          <t>5:03</t>
        </is>
      </c>
      <c r="C2480" t="inlineStr">
        <is>
          <t>manual drive, train and axles;
and engine performance.</t>
        </is>
      </c>
      <c r="D2480">
        <f>HYPERLINK("https://www.youtube.com/watch?v=9mAg3_A6ye8&amp;t=303s", "Go to time")</f>
        <v/>
      </c>
    </row>
    <row r="2481">
      <c r="A2481">
        <f>HYPERLINK("https://www.youtube.com/watch?v=9mAg3_A6ye8", "Video")</f>
        <v/>
      </c>
      <c r="B2481" t="inlineStr">
        <is>
          <t>6:30</t>
        </is>
      </c>
      <c r="C2481" t="inlineStr">
        <is>
          <t>therefore drive down cost.</t>
        </is>
      </c>
      <c r="D2481">
        <f>HYPERLINK("https://www.youtube.com/watch?v=9mAg3_A6ye8&amp;t=390s", "Go to time")</f>
        <v/>
      </c>
    </row>
    <row r="2482">
      <c r="A2482">
        <f>HYPERLINK("https://www.youtube.com/watch?v=9mAg3_A6ye8", "Video")</f>
        <v/>
      </c>
      <c r="B2482" t="inlineStr">
        <is>
          <t>11:38</t>
        </is>
      </c>
      <c r="C2482" t="inlineStr">
        <is>
          <t>we are helping to drive down
the cost of higher education</t>
        </is>
      </c>
      <c r="D2482">
        <f>HYPERLINK("https://www.youtube.com/watch?v=9mAg3_A6ye8&amp;t=698s", "Go to time")</f>
        <v/>
      </c>
    </row>
    <row r="2483">
      <c r="A2483">
        <f>HYPERLINK("https://www.youtube.com/watch?v=-kHm6YiboHA", "Video")</f>
        <v/>
      </c>
      <c r="B2483" t="inlineStr">
        <is>
          <t>0:45</t>
        </is>
      </c>
      <c r="C2483" t="inlineStr">
        <is>
          <t>but who aren't seen as the innovators
who drive excellence.</t>
        </is>
      </c>
      <c r="D2483">
        <f>HYPERLINK("https://www.youtube.com/watch?v=-kHm6YiboHA&amp;t=45s", "Go to time")</f>
        <v/>
      </c>
    </row>
    <row r="2484">
      <c r="A2484">
        <f>HYPERLINK("https://www.youtube.com/watch?v=ddxHlkIuHqg", "Video")</f>
        <v/>
      </c>
      <c r="B2484" t="inlineStr">
        <is>
          <t>4:29</t>
        </is>
      </c>
      <c r="C2484" t="inlineStr">
        <is>
          <t>I still remember young women
being driven to my clinic</t>
        </is>
      </c>
      <c r="D2484">
        <f>HYPERLINK("https://www.youtube.com/watch?v=ddxHlkIuHqg&amp;t=269s", "Go to time")</f>
        <v/>
      </c>
    </row>
    <row r="2485">
      <c r="A2485">
        <f>HYPERLINK("https://www.youtube.com/watch?v=rcBu29r6nJM", "Video")</f>
        <v/>
      </c>
      <c r="B2485" t="inlineStr">
        <is>
          <t>2:26</t>
        </is>
      </c>
      <c r="C2485" t="inlineStr">
        <is>
          <t>all sources that drive carbon up or down.</t>
        </is>
      </c>
      <c r="D2485">
        <f>HYPERLINK("https://www.youtube.com/watch?v=rcBu29r6nJM&amp;t=146s", "Go to time")</f>
        <v/>
      </c>
    </row>
    <row r="2486">
      <c r="A2486">
        <f>HYPERLINK("https://www.youtube.com/watch?v=hJP5GqnTrNo", "Video")</f>
        <v/>
      </c>
      <c r="B2486" t="inlineStr">
        <is>
          <t>10:32</t>
        </is>
      </c>
      <c r="C2486" t="inlineStr">
        <is>
          <t>to drive more personalized
education and frankly</t>
        </is>
      </c>
      <c r="D2486">
        <f>HYPERLINK("https://www.youtube.com/watch?v=hJP5GqnTrNo&amp;t=632s", "Go to time")</f>
        <v/>
      </c>
    </row>
    <row r="2487">
      <c r="A2487">
        <f>HYPERLINK("https://www.youtube.com/watch?v=9w0PL2_-oAE", "Video")</f>
        <v/>
      </c>
      <c r="B2487" t="inlineStr">
        <is>
          <t>40:16</t>
        </is>
      </c>
      <c r="C2487" t="inlineStr">
        <is>
          <t>which is ultimately what will drive the</t>
        </is>
      </c>
      <c r="D2487">
        <f>HYPERLINK("https://www.youtube.com/watch?v=9w0PL2_-oAE&amp;t=2416s", "Go to time")</f>
        <v/>
      </c>
    </row>
    <row r="2488">
      <c r="A2488">
        <f>HYPERLINK("https://www.youtube.com/watch?v=9w0PL2_-oAE", "Video")</f>
        <v/>
      </c>
      <c r="B2488" t="inlineStr">
        <is>
          <t>43:27</t>
        </is>
      </c>
      <c r="C2488" t="inlineStr">
        <is>
          <t>um and so she's been a major driver of</t>
        </is>
      </c>
      <c r="D2488">
        <f>HYPERLINK("https://www.youtube.com/watch?v=9w0PL2_-oAE&amp;t=2607s", "Go to time")</f>
        <v/>
      </c>
    </row>
    <row r="2489">
      <c r="A2489">
        <f>HYPERLINK("https://www.youtube.com/watch?v=9w0PL2_-oAE", "Video")</f>
        <v/>
      </c>
      <c r="B2489" t="inlineStr">
        <is>
          <t>59:04</t>
        </is>
      </c>
      <c r="C2489" t="inlineStr">
        <is>
          <t>that you've you've driven</t>
        </is>
      </c>
      <c r="D2489">
        <f>HYPERLINK("https://www.youtube.com/watch?v=9w0PL2_-oAE&amp;t=3544s", "Go to time")</f>
        <v/>
      </c>
    </row>
    <row r="2490">
      <c r="A2490">
        <f>HYPERLINK("https://www.youtube.com/watch?v=647itg-A_aw", "Video")</f>
        <v/>
      </c>
      <c r="B2490" t="inlineStr">
        <is>
          <t>1:56</t>
        </is>
      </c>
      <c r="C2490" t="inlineStr">
        <is>
          <t>And driven by rising incomes and demand,</t>
        </is>
      </c>
      <c r="D2490">
        <f>HYPERLINK("https://www.youtube.com/watch?v=647itg-A_aw&amp;t=116s", "Go to time")</f>
        <v/>
      </c>
    </row>
    <row r="2491">
      <c r="A2491">
        <f>HYPERLINK("https://www.youtube.com/watch?v=Sa27SUR0Mlo", "Video")</f>
        <v/>
      </c>
      <c r="B2491" t="inlineStr">
        <is>
          <t>8:32</t>
        </is>
      </c>
      <c r="C2491" t="inlineStr">
        <is>
          <t>Information visibility drives efficiency.</t>
        </is>
      </c>
      <c r="D2491">
        <f>HYPERLINK("https://www.youtube.com/watch?v=Sa27SUR0Mlo&amp;t=512s", "Go to time")</f>
        <v/>
      </c>
    </row>
    <row r="2492">
      <c r="A2492">
        <f>HYPERLINK("https://www.youtube.com/watch?v=Sa27SUR0Mlo", "Video")</f>
        <v/>
      </c>
      <c r="B2492" t="inlineStr">
        <is>
          <t>8:53</t>
        </is>
      </c>
      <c r="C2492" t="inlineStr">
        <is>
          <t>Data drives better decisions.</t>
        </is>
      </c>
      <c r="D2492">
        <f>HYPERLINK("https://www.youtube.com/watch?v=Sa27SUR0Mlo&amp;t=533s", "Go to time")</f>
        <v/>
      </c>
    </row>
    <row r="2493">
      <c r="A2493">
        <f>HYPERLINK("https://www.youtube.com/watch?v=XqRMV8ICMiM", "Video")</f>
        <v/>
      </c>
      <c r="B2493" t="inlineStr">
        <is>
          <t>2:11</t>
        </is>
      </c>
      <c r="C2493" t="inlineStr">
        <is>
          <t>mile driven.</t>
        </is>
      </c>
      <c r="D2493">
        <f>HYPERLINK("https://www.youtube.com/watch?v=XqRMV8ICMiM&amp;t=131s", "Go to time")</f>
        <v/>
      </c>
    </row>
    <row r="2494">
      <c r="A2494">
        <f>HYPERLINK("https://www.youtube.com/watch?v=UI6IKlHh-pQ", "Video")</f>
        <v/>
      </c>
      <c r="B2494" t="inlineStr">
        <is>
          <t>8:05</t>
        </is>
      </c>
      <c r="C2494" t="inlineStr">
        <is>
          <t>And when it drives over to you
with its glass of water,</t>
        </is>
      </c>
      <c r="D2494">
        <f>HYPERLINK("https://www.youtube.com/watch?v=UI6IKlHh-pQ&amp;t=485s", "Go to time")</f>
        <v/>
      </c>
    </row>
    <row r="2495">
      <c r="A2495">
        <f>HYPERLINK("https://www.youtube.com/watch?v=6ElobAhlQo0", "Video")</f>
        <v/>
      </c>
      <c r="B2495" t="inlineStr">
        <is>
          <t>4:03</t>
        </is>
      </c>
      <c r="C2495" t="inlineStr">
        <is>
          <t>We knew that writing DNA
would drive this bioeconomy even more,</t>
        </is>
      </c>
      <c r="D2495">
        <f>HYPERLINK("https://www.youtube.com/watch?v=6ElobAhlQo0&amp;t=243s", "Go to time")</f>
        <v/>
      </c>
    </row>
    <row r="2496">
      <c r="A2496">
        <f>HYPERLINK("https://www.youtube.com/watch?v=8goi3AD4RWo", "Video")</f>
        <v/>
      </c>
      <c r="B2496" t="inlineStr">
        <is>
          <t>2:02</t>
        </is>
      </c>
      <c r="C2496" t="inlineStr">
        <is>
          <t>But it's also one of the most
significant drivers of overload.</t>
        </is>
      </c>
      <c r="D2496">
        <f>HYPERLINK("https://www.youtube.com/watch?v=8goi3AD4RWo&amp;t=122s", "Go to time")</f>
        <v/>
      </c>
    </row>
    <row r="2497">
      <c r="A2497">
        <f>HYPERLINK("https://www.youtube.com/watch?v=8goi3AD4RWo", "Video")</f>
        <v/>
      </c>
      <c r="B2497" t="inlineStr">
        <is>
          <t>2:20</t>
        </is>
      </c>
      <c r="C2497" t="inlineStr">
        <is>
          <t>Our drive to achieve is another admirable
trait critical to success</t>
        </is>
      </c>
      <c r="D2497">
        <f>HYPERLINK("https://www.youtube.com/watch?v=8goi3AD4RWo&amp;t=140s", "Go to time")</f>
        <v/>
      </c>
    </row>
    <row r="2498">
      <c r="A2498">
        <f>HYPERLINK("https://www.youtube.com/watch?v=8goi3AD4RWo", "Video")</f>
        <v/>
      </c>
      <c r="B2498" t="inlineStr">
        <is>
          <t>2:59</t>
        </is>
      </c>
      <c r="C2498" t="inlineStr">
        <is>
          <t>Fear is a major driver of overload today
that takes several forms.</t>
        </is>
      </c>
      <c r="D2498">
        <f>HYPERLINK("https://www.youtube.com/watch?v=8goi3AD4RWo&amp;t=179s", "Go to time")</f>
        <v/>
      </c>
    </row>
    <row r="2499">
      <c r="A2499">
        <f>HYPERLINK("https://www.youtube.com/watch?v=8goi3AD4RWo", "Video")</f>
        <v/>
      </c>
      <c r="B2499" t="inlineStr">
        <is>
          <t>3:32</t>
        </is>
      </c>
      <c r="C2499" t="inlineStr">
        <is>
          <t>Unfortunately, these fears drive
unproductive choices</t>
        </is>
      </c>
      <c r="D2499">
        <f>HYPERLINK("https://www.youtube.com/watch?v=8goi3AD4RWo&amp;t=212s", "Go to time")</f>
        <v/>
      </c>
    </row>
    <row r="2500">
      <c r="A2500">
        <f>HYPERLINK("https://www.youtube.com/watch?v=9EBkS2kE7uk", "Video")</f>
        <v/>
      </c>
      <c r="B2500" t="inlineStr">
        <is>
          <t>9:41</t>
        </is>
      </c>
      <c r="C2500" t="inlineStr">
        <is>
          <t>I remember I went into overdrive.</t>
        </is>
      </c>
      <c r="D2500">
        <f>HYPERLINK("https://www.youtube.com/watch?v=9EBkS2kE7uk&amp;t=581s", "Go to time")</f>
        <v/>
      </c>
    </row>
    <row r="2501">
      <c r="A2501">
        <f>HYPERLINK("https://www.youtube.com/watch?v=fAIJAezZg1A", "Video")</f>
        <v/>
      </c>
      <c r="B2501" t="inlineStr">
        <is>
          <t>2:50</t>
        </is>
      </c>
      <c r="C2501" t="inlineStr">
        <is>
          <t>trying to get the attention
of the drivers racing past.</t>
        </is>
      </c>
      <c r="D2501">
        <f>HYPERLINK("https://www.youtube.com/watch?v=fAIJAezZg1A&amp;t=170s", "Go to time")</f>
        <v/>
      </c>
    </row>
    <row r="2502">
      <c r="A2502">
        <f>HYPERLINK("https://www.youtube.com/watch?v=qAC-5hTK-4c", "Video")</f>
        <v/>
      </c>
      <c r="B2502" t="inlineStr">
        <is>
          <t>0:15</t>
        </is>
      </c>
      <c r="C2502" t="inlineStr">
        <is>
          <t>I only recently learned how to drive.</t>
        </is>
      </c>
      <c r="D2502">
        <f>HYPERLINK("https://www.youtube.com/watch?v=qAC-5hTK-4c&amp;t=15s", "Go to time")</f>
        <v/>
      </c>
    </row>
    <row r="2503">
      <c r="A2503">
        <f>HYPERLINK("https://www.youtube.com/watch?v=qAC-5hTK-4c", "Video")</f>
        <v/>
      </c>
      <c r="B2503" t="inlineStr">
        <is>
          <t>0:24</t>
        </is>
      </c>
      <c r="C2503" t="inlineStr">
        <is>
          <t>Do you remember what it was like
when you first learned how to drive?</t>
        </is>
      </c>
      <c r="D2503">
        <f>HYPERLINK("https://www.youtube.com/watch?v=qAC-5hTK-4c&amp;t=24s", "Go to time")</f>
        <v/>
      </c>
    </row>
    <row r="2504">
      <c r="A2504">
        <f>HYPERLINK("https://www.youtube.com/watch?v=qAC-5hTK-4c", "Video")</f>
        <v/>
      </c>
      <c r="B2504" t="inlineStr">
        <is>
          <t>0:52</t>
        </is>
      </c>
      <c r="C2504" t="inlineStr">
        <is>
          <t>like learning how to drive.</t>
        </is>
      </c>
      <c r="D2504">
        <f>HYPERLINK("https://www.youtube.com/watch?v=qAC-5hTK-4c&amp;t=52s", "Go to time")</f>
        <v/>
      </c>
    </row>
    <row r="2505">
      <c r="A2505">
        <f>HYPERLINK("https://www.youtube.com/watch?v=qAC-5hTK-4c", "Video")</f>
        <v/>
      </c>
      <c r="B2505" t="inlineStr">
        <is>
          <t>1:20</t>
        </is>
      </c>
      <c r="C2505" t="inlineStr">
        <is>
          <t>and then drive all the way home
instead on autopilot?</t>
        </is>
      </c>
      <c r="D2505">
        <f>HYPERLINK("https://www.youtube.com/watch?v=qAC-5hTK-4c&amp;t=80s", "Go to time")</f>
        <v/>
      </c>
    </row>
    <row r="2506">
      <c r="A2506">
        <f>HYPERLINK("https://www.youtube.com/watch?v=HX17MXvwYHo", "Video")</f>
        <v/>
      </c>
      <c r="B2506" t="inlineStr">
        <is>
          <t>3:21</t>
        </is>
      </c>
      <c r="C2506" t="inlineStr">
        <is>
          <t>and said if it was OK with me,
he'd drive me home.</t>
        </is>
      </c>
      <c r="D2506">
        <f>HYPERLINK("https://www.youtube.com/watch?v=HX17MXvwYHo&amp;t=201s", "Go to time")</f>
        <v/>
      </c>
    </row>
    <row r="2507">
      <c r="A2507">
        <f>HYPERLINK("https://www.youtube.com/watch?v=fpkjwHsszlE", "Video")</f>
        <v/>
      </c>
      <c r="B2507" t="inlineStr">
        <is>
          <t>0:25</t>
        </is>
      </c>
      <c r="C2507" t="inlineStr">
        <is>
          <t>to drive new wind and solar
to the grids around the world.</t>
        </is>
      </c>
      <c r="D2507">
        <f>HYPERLINK("https://www.youtube.com/watch?v=fpkjwHsszlE&amp;t=25s", "Go to time")</f>
        <v/>
      </c>
    </row>
    <row r="2508">
      <c r="A2508">
        <f>HYPERLINK("https://www.youtube.com/watch?v=fpkjwHsszlE", "Video")</f>
        <v/>
      </c>
      <c r="B2508" t="inlineStr">
        <is>
          <t>1:22</t>
        </is>
      </c>
      <c r="C2508" t="inlineStr">
        <is>
          <t>to really drive new clean energy
to the grids where we operate.</t>
        </is>
      </c>
      <c r="D2508">
        <f>HYPERLINK("https://www.youtube.com/watch?v=fpkjwHsszlE&amp;t=82s", "Go to time")</f>
        <v/>
      </c>
    </row>
    <row r="2509">
      <c r="A2509">
        <f>HYPERLINK("https://www.youtube.com/watch?v=fpkjwHsszlE", "Video")</f>
        <v/>
      </c>
      <c r="B2509" t="inlineStr">
        <is>
          <t>3:30</t>
        </is>
      </c>
      <c r="C2509" t="inlineStr">
        <is>
          <t>We need partnerships
to drive change at scale</t>
        </is>
      </c>
      <c r="D2509">
        <f>HYPERLINK("https://www.youtube.com/watch?v=fpkjwHsszlE&amp;t=210s", "Go to time")</f>
        <v/>
      </c>
    </row>
    <row r="2510">
      <c r="A2510">
        <f>HYPERLINK("https://www.youtube.com/watch?v=fpkjwHsszlE", "Video")</f>
        <v/>
      </c>
      <c r="B2510" t="inlineStr">
        <is>
          <t>3:33</t>
        </is>
      </c>
      <c r="C2510" t="inlineStr">
        <is>
          <t>that's really going to drive carbon
out of our global economy.</t>
        </is>
      </c>
      <c r="D2510">
        <f>HYPERLINK("https://www.youtube.com/watch?v=fpkjwHsszlE&amp;t=213s", "Go to time")</f>
        <v/>
      </c>
    </row>
    <row r="2511">
      <c r="A2511">
        <f>HYPERLINK("https://www.youtube.com/watch?v=i_wtaoHCw3k", "Video")</f>
        <v/>
      </c>
      <c r="B2511" t="inlineStr">
        <is>
          <t>6:22</t>
        </is>
      </c>
      <c r="C2511" t="inlineStr">
        <is>
          <t>to drive what we call
"Sankofa Innovation," which I'll explain.</t>
        </is>
      </c>
      <c r="D2511">
        <f>HYPERLINK("https://www.youtube.com/watch?v=i_wtaoHCw3k&amp;t=382s", "Go to time")</f>
        <v/>
      </c>
    </row>
    <row r="2512">
      <c r="A2512">
        <f>HYPERLINK("https://www.youtube.com/watch?v=P9B8PmUR64U", "Video")</f>
        <v/>
      </c>
      <c r="B2512" t="inlineStr">
        <is>
          <t>1:59</t>
        </is>
      </c>
      <c r="C2512" t="inlineStr">
        <is>
          <t>we'd be able to drive --</t>
        </is>
      </c>
      <c r="D2512">
        <f>HYPERLINK("https://www.youtube.com/watch?v=P9B8PmUR64U&amp;t=119s", "Go to time")</f>
        <v/>
      </c>
    </row>
    <row r="2513">
      <c r="A2513">
        <f>HYPERLINK("https://www.youtube.com/watch?v=dYNc3P4j-t4", "Video")</f>
        <v/>
      </c>
      <c r="B2513" t="inlineStr">
        <is>
          <t>4:25</t>
        </is>
      </c>
      <c r="C2513" t="inlineStr">
        <is>
          <t>when four retirees
and two taxi drivers were arrested</t>
        </is>
      </c>
      <c r="D2513">
        <f>HYPERLINK("https://www.youtube.com/watch?v=dYNc3P4j-t4&amp;t=265s", "Go to time")</f>
        <v/>
      </c>
    </row>
    <row r="2514">
      <c r="A2514">
        <f>HYPERLINK("https://www.youtube.com/watch?v=7INMrxpc7nw", "Video")</f>
        <v/>
      </c>
      <c r="B2514" t="inlineStr">
        <is>
          <t>0:44</t>
        </is>
      </c>
      <c r="C2514" t="inlineStr">
        <is>
          <t>It’s a simple question:
Can we get more people to drive less</t>
        </is>
      </c>
      <c r="D2514">
        <f>HYPERLINK("https://www.youtube.com/watch?v=7INMrxpc7nw&amp;t=44s", "Go to time")</f>
        <v/>
      </c>
    </row>
    <row r="2515">
      <c r="A2515">
        <f>HYPERLINK("https://www.youtube.com/watch?v=83R0ZaRKF90", "Video")</f>
        <v/>
      </c>
      <c r="B2515" t="inlineStr">
        <is>
          <t>3:46</t>
        </is>
      </c>
      <c r="C2515" t="inlineStr">
        <is>
          <t>often driven by humanitarian need
in the wake of natural disasters,</t>
        </is>
      </c>
      <c r="D2515">
        <f>HYPERLINK("https://www.youtube.com/watch?v=83R0ZaRKF90&amp;t=226s", "Go to time")</f>
        <v/>
      </c>
    </row>
    <row r="2516">
      <c r="A2516">
        <f>HYPERLINK("https://www.youtube.com/watch?v=k0Fx6igxRv8", "Video")</f>
        <v/>
      </c>
      <c r="B2516" t="inlineStr">
        <is>
          <t>16:39</t>
        </is>
      </c>
      <c r="C2516" t="inlineStr">
        <is>
          <t>and just given his personal belief
that he can drive diplomacy,</t>
        </is>
      </c>
      <c r="D2516">
        <f>HYPERLINK("https://www.youtube.com/watch?v=k0Fx6igxRv8&amp;t=999s", "Go to time")</f>
        <v/>
      </c>
    </row>
    <row r="2517">
      <c r="A2517">
        <f>HYPERLINK("https://www.youtube.com/watch?v=eucTQXM4ymE", "Video")</f>
        <v/>
      </c>
      <c r="B2517" t="inlineStr">
        <is>
          <t>1:24</t>
        </is>
      </c>
      <c r="C2517" t="inlineStr">
        <is>
          <t>driven by the burning of oil, gas and coal</t>
        </is>
      </c>
      <c r="D2517">
        <f>HYPERLINK("https://www.youtube.com/watch?v=eucTQXM4ymE&amp;t=84s", "Go to time")</f>
        <v/>
      </c>
    </row>
    <row r="2518">
      <c r="A2518">
        <f>HYPERLINK("https://www.youtube.com/watch?v=eucTQXM4ymE", "Video")</f>
        <v/>
      </c>
      <c r="B2518" t="inlineStr">
        <is>
          <t>1:34</t>
        </is>
      </c>
      <c r="C2518" t="inlineStr">
        <is>
          <t>a new reality, also driven
by our dependency on fossil fuels,</t>
        </is>
      </c>
      <c r="D2518">
        <f>HYPERLINK("https://www.youtube.com/watch?v=eucTQXM4ymE&amp;t=94s", "Go to time")</f>
        <v/>
      </c>
    </row>
    <row r="2519">
      <c r="A2519">
        <f>HYPERLINK("https://www.youtube.com/watch?v=Dn1nYrnsmr4", "Video")</f>
        <v/>
      </c>
      <c r="B2519" t="inlineStr">
        <is>
          <t>14:36</t>
        </is>
      </c>
      <c r="C2519" t="inlineStr">
        <is>
          <t>with a war metaphor then that can drive</t>
        </is>
      </c>
      <c r="D2519">
        <f>HYPERLINK("https://www.youtube.com/watch?v=Dn1nYrnsmr4&amp;t=876s", "Go to time")</f>
        <v/>
      </c>
    </row>
    <row r="2520">
      <c r="A2520">
        <f>HYPERLINK("https://www.youtube.com/watch?v=PkGCtSkbnjQ", "Video")</f>
        <v/>
      </c>
      <c r="B2520" t="inlineStr">
        <is>
          <t>8:24</t>
        </is>
      </c>
      <c r="C2520" t="inlineStr">
        <is>
          <t>hard drives, phones, diaries can be lost,</t>
        </is>
      </c>
      <c r="D2520">
        <f>HYPERLINK("https://www.youtube.com/watch?v=PkGCtSkbnjQ&amp;t=504s", "Go to time")</f>
        <v/>
      </c>
    </row>
    <row r="2521">
      <c r="A2521">
        <f>HYPERLINK("https://www.youtube.com/watch?v=TLZ6W-Nqv1I", "Video")</f>
        <v/>
      </c>
      <c r="B2521" t="inlineStr">
        <is>
          <t>0:55</t>
        </is>
      </c>
      <c r="C2521" t="inlineStr">
        <is>
          <t>I was in charge of logistics
and truck drivers.</t>
        </is>
      </c>
      <c r="D2521">
        <f>HYPERLINK("https://www.youtube.com/watch?v=TLZ6W-Nqv1I&amp;t=55s", "Go to time")</f>
        <v/>
      </c>
    </row>
    <row r="2522">
      <c r="A2522">
        <f>HYPERLINK("https://www.youtube.com/watch?v=GqGksNRYu8s", "Video")</f>
        <v/>
      </c>
      <c r="B2522" t="inlineStr">
        <is>
          <t>1:22</t>
        </is>
      </c>
      <c r="C2522" t="inlineStr">
        <is>
          <t>It's a platform that matches
drivers and passengers</t>
        </is>
      </c>
      <c r="D2522">
        <f>HYPERLINK("https://www.youtube.com/watch?v=GqGksNRYu8s&amp;t=82s", "Go to time")</f>
        <v/>
      </c>
    </row>
    <row r="2523">
      <c r="A2523">
        <f>HYPERLINK("https://www.youtube.com/watch?v=GqGksNRYu8s", "Video")</f>
        <v/>
      </c>
      <c r="B2523" t="inlineStr">
        <is>
          <t>15:49</t>
        </is>
      </c>
      <c r="C2523" t="inlineStr">
        <is>
          <t>And the fascinating thing is
that both drivers and passengers report</t>
        </is>
      </c>
      <c r="D2523">
        <f>HYPERLINK("https://www.youtube.com/watch?v=GqGksNRYu8s&amp;t=949s", "Go to time")</f>
        <v/>
      </c>
    </row>
    <row r="2524">
      <c r="A2524">
        <f>HYPERLINK("https://www.youtube.com/watch?v=GqGksNRYu8s", "Video")</f>
        <v/>
      </c>
      <c r="B2524" t="inlineStr">
        <is>
          <t>16:19</t>
        </is>
      </c>
      <c r="C2524" t="inlineStr">
        <is>
          <t>Today, many of us are comfortable
getting into cars driven by strangers.</t>
        </is>
      </c>
      <c r="D2524">
        <f>HYPERLINK("https://www.youtube.com/watch?v=GqGksNRYu8s&amp;t=979s", "Go to time")</f>
        <v/>
      </c>
    </row>
    <row r="2525">
      <c r="A2525">
        <f>HYPERLINK("https://www.youtube.com/watch?v=n0J1zCHURsQ", "Video")</f>
        <v/>
      </c>
      <c r="B2525" t="inlineStr">
        <is>
          <t>2:48</t>
        </is>
      </c>
      <c r="C2525" t="inlineStr">
        <is>
          <t>or what is otherwise known
as hypothesis-driven science</t>
        </is>
      </c>
      <c r="D2525">
        <f>HYPERLINK("https://www.youtube.com/watch?v=n0J1zCHURsQ&amp;t=168s", "Go to time")</f>
        <v/>
      </c>
    </row>
    <row r="2526">
      <c r="A2526">
        <f>HYPERLINK("https://www.youtube.com/watch?v=n0J1zCHURsQ", "Video")</f>
        <v/>
      </c>
      <c r="B2526" t="inlineStr">
        <is>
          <t>2:52</t>
        </is>
      </c>
      <c r="C2526" t="inlineStr">
        <is>
          <t>or curiosity-driven science.</t>
        </is>
      </c>
      <c r="D2526">
        <f>HYPERLINK("https://www.youtube.com/watch?v=n0J1zCHURsQ&amp;t=172s", "Go to time")</f>
        <v/>
      </c>
    </row>
    <row r="2527">
      <c r="A2527">
        <f>HYPERLINK("https://www.youtube.com/watch?v=n0J1zCHURsQ", "Video")</f>
        <v/>
      </c>
      <c r="B2527" t="inlineStr">
        <is>
          <t>3:47</t>
        </is>
      </c>
      <c r="C2527" t="inlineStr">
        <is>
          <t>using classical hypothesis-driven science,</t>
        </is>
      </c>
      <c r="D2527">
        <f>HYPERLINK("https://www.youtube.com/watch?v=n0J1zCHURsQ&amp;t=227s", "Go to time")</f>
        <v/>
      </c>
    </row>
    <row r="2528">
      <c r="A2528">
        <f>HYPERLINK("https://www.youtube.com/watch?v=n0J1zCHURsQ", "Video")</f>
        <v/>
      </c>
      <c r="B2528" t="inlineStr">
        <is>
          <t>8:28</t>
        </is>
      </c>
      <c r="C2528" t="inlineStr">
        <is>
          <t>We realized that our curiosity-driven work</t>
        </is>
      </c>
      <c r="D2528">
        <f>HYPERLINK("https://www.youtube.com/watch?v=n0J1zCHURsQ&amp;t=508s", "Go to time")</f>
        <v/>
      </c>
    </row>
    <row r="2529">
      <c r="A2529">
        <f>HYPERLINK("https://www.youtube.com/watch?v=XbLDeWYBZw4", "Video")</f>
        <v/>
      </c>
      <c r="B2529" t="inlineStr">
        <is>
          <t>7:52</t>
        </is>
      </c>
      <c r="C2529" t="inlineStr">
        <is>
          <t>Let's put climate and, importantly,
actions that drive climate finance,</t>
        </is>
      </c>
      <c r="D2529">
        <f>HYPERLINK("https://www.youtube.com/watch?v=XbLDeWYBZw4&amp;t=472s", "Go to time")</f>
        <v/>
      </c>
    </row>
    <row r="2530">
      <c r="A2530">
        <f>HYPERLINK("https://www.youtube.com/watch?v=XbLDeWYBZw4", "Video")</f>
        <v/>
      </c>
      <c r="B2530" t="inlineStr">
        <is>
          <t>11:14</t>
        </is>
      </c>
      <c r="C2530" t="inlineStr">
        <is>
          <t>like the food we eat
or the vehicles we drive,</t>
        </is>
      </c>
      <c r="D2530">
        <f>HYPERLINK("https://www.youtube.com/watch?v=XbLDeWYBZw4&amp;t=674s", "Go to time")</f>
        <v/>
      </c>
    </row>
    <row r="2531">
      <c r="A2531">
        <f>HYPERLINK("https://www.youtube.com/watch?v=LY5hMMjiN6k", "Video")</f>
        <v/>
      </c>
      <c r="B2531" t="inlineStr">
        <is>
          <t>5:30</t>
        </is>
      </c>
      <c r="C2531" t="inlineStr">
        <is>
          <t>I was excited to take my intellectual
drive and interest in the world of ideas</t>
        </is>
      </c>
      <c r="D2531">
        <f>HYPERLINK("https://www.youtube.com/watch?v=LY5hMMjiN6k&amp;t=330s", "Go to time")</f>
        <v/>
      </c>
    </row>
    <row r="2532">
      <c r="A2532">
        <f>HYPERLINK("https://www.youtube.com/watch?v=ODLg_00f9BE", "Video")</f>
        <v/>
      </c>
      <c r="B2532" t="inlineStr">
        <is>
          <t>5:23</t>
        </is>
      </c>
      <c r="C2532" t="inlineStr">
        <is>
          <t>should be driven
by communities themselves,</t>
        </is>
      </c>
      <c r="D2532">
        <f>HYPERLINK("https://www.youtube.com/watch?v=ODLg_00f9BE&amp;t=323s", "Go to time")</f>
        <v/>
      </c>
    </row>
    <row r="2533">
      <c r="A2533">
        <f>HYPERLINK("https://www.youtube.com/watch?v=v9f6twy70iM", "Video")</f>
        <v/>
      </c>
      <c r="B2533" t="inlineStr">
        <is>
          <t>8:20</t>
        </is>
      </c>
      <c r="C2533" t="inlineStr">
        <is>
          <t>"the only bit that's still working
is the bit that drives the breathing.</t>
        </is>
      </c>
      <c r="D2533">
        <f>HYPERLINK("https://www.youtube.com/watch?v=v9f6twy70iM&amp;t=500s", "Go to time")</f>
        <v/>
      </c>
    </row>
    <row r="2534">
      <c r="A2534">
        <f>HYPERLINK("https://www.youtube.com/watch?v=tJtCcm7PUvA", "Video")</f>
        <v/>
      </c>
      <c r="B2534" t="inlineStr">
        <is>
          <t>6:44</t>
        </is>
      </c>
      <c r="C2534" t="inlineStr">
        <is>
          <t>didn’t [justt] give these women
the ability to drive</t>
        </is>
      </c>
      <c r="D2534">
        <f>HYPERLINK("https://www.youtube.com/watch?v=tJtCcm7PUvA&amp;t=404s", "Go to time")</f>
        <v/>
      </c>
    </row>
    <row r="2535">
      <c r="A2535">
        <f>HYPERLINK("https://www.youtube.com/watch?v=tJtCcm7PUvA", "Video")</f>
        <v/>
      </c>
      <c r="B2535" t="inlineStr">
        <is>
          <t>7:39</t>
        </is>
      </c>
      <c r="C2535" t="inlineStr">
        <is>
          <t>We have set up a system where a woman
can train to drive for themselves</t>
        </is>
      </c>
      <c r="D2535">
        <f>HYPERLINK("https://www.youtube.com/watch?v=tJtCcm7PUvA&amp;t=459s", "Go to time")</f>
        <v/>
      </c>
    </row>
    <row r="2536">
      <c r="A2536">
        <f>HYPERLINK("https://www.youtube.com/watch?v=tJtCcm7PUvA", "Video")</f>
        <v/>
      </c>
      <c r="B2536" t="inlineStr">
        <is>
          <t>8:02</t>
        </is>
      </c>
      <c r="C2536" t="inlineStr">
        <is>
          <t>We are connecting these women drivers
on a national network</t>
        </is>
      </c>
      <c r="D2536">
        <f>HYPERLINK("https://www.youtube.com/watch?v=tJtCcm7PUvA&amp;t=482s", "Go to time")</f>
        <v/>
      </c>
    </row>
    <row r="2537">
      <c r="A2537">
        <f>HYPERLINK("https://www.youtube.com/watch?v=tJtCcm7PUvA", "Video")</f>
        <v/>
      </c>
      <c r="B2537" t="inlineStr">
        <is>
          <t>8:11</t>
        </is>
      </c>
      <c r="C2537" t="inlineStr">
        <is>
          <t>She can actually ping
another driver in her vicinity</t>
        </is>
      </c>
      <c r="D2537">
        <f>HYPERLINK("https://www.youtube.com/watch?v=tJtCcm7PUvA&amp;t=491s", "Go to time")</f>
        <v/>
      </c>
    </row>
    <row r="2538">
      <c r="A2538">
        <f>HYPERLINK("https://www.youtube.com/watch?v=tJtCcm7PUvA", "Video")</f>
        <v/>
      </c>
      <c r="B2538" t="inlineStr">
        <is>
          <t>9:01</t>
        </is>
      </c>
      <c r="C2538" t="inlineStr">
        <is>
          <t>and be the largest network
of women drivers connected to each other.</t>
        </is>
      </c>
      <c r="D2538">
        <f>HYPERLINK("https://www.youtube.com/watch?v=tJtCcm7PUvA&amp;t=541s", "Go to time")</f>
        <v/>
      </c>
    </row>
    <row r="2539">
      <c r="A2539">
        <f>HYPERLINK("https://www.youtube.com/watch?v=jTVWtrMleI0", "Video")</f>
        <v/>
      </c>
      <c r="B2539" t="inlineStr">
        <is>
          <t>3:34</t>
        </is>
      </c>
      <c r="C2539" t="inlineStr">
        <is>
          <t>turns out to have been
two white truck drivers</t>
        </is>
      </c>
      <c r="D2539">
        <f>HYPERLINK("https://www.youtube.com/watch?v=jTVWtrMleI0&amp;t=214s", "Go to time")</f>
        <v/>
      </c>
    </row>
    <row r="2540">
      <c r="A2540">
        <f>HYPERLINK("https://www.youtube.com/watch?v=jTVWtrMleI0", "Video")</f>
        <v/>
      </c>
      <c r="B2540" t="inlineStr">
        <is>
          <t>3:45</t>
        </is>
      </c>
      <c r="C2540" t="inlineStr">
        <is>
          <t>saw that the white
truck drivers were not injured,</t>
        </is>
      </c>
      <c r="D2540">
        <f>HYPERLINK("https://www.youtube.com/watch?v=jTVWtrMleI0&amp;t=225s", "Go to time")</f>
        <v/>
      </c>
    </row>
    <row r="2541">
      <c r="A2541">
        <f>HYPERLINK("https://www.youtube.com/watch?v=jTVWtrMleI0", "Video")</f>
        <v/>
      </c>
      <c r="B2541" t="inlineStr">
        <is>
          <t>14:25</t>
        </is>
      </c>
      <c r="C2541" t="inlineStr">
        <is>
          <t>and I think that I'm driven by my faith.</t>
        </is>
      </c>
      <c r="D2541">
        <f>HYPERLINK("https://www.youtube.com/watch?v=jTVWtrMleI0&amp;t=865s", "Go to time")</f>
        <v/>
      </c>
    </row>
    <row r="2542">
      <c r="A2542">
        <f>HYPERLINK("https://www.youtube.com/watch?v=oyjIqtEVVB0", "Video")</f>
        <v/>
      </c>
      <c r="B2542" t="inlineStr">
        <is>
          <t>12:04</t>
        </is>
      </c>
      <c r="C2542" t="inlineStr">
        <is>
          <t>to climate change is a driver of</t>
        </is>
      </c>
      <c r="D2542">
        <f>HYPERLINK("https://www.youtube.com/watch?v=oyjIqtEVVB0&amp;t=724s", "Go to time")</f>
        <v/>
      </c>
    </row>
    <row r="2543">
      <c r="A2543">
        <f>HYPERLINK("https://www.youtube.com/watch?v=oyjIqtEVVB0", "Video")</f>
        <v/>
      </c>
      <c r="B2543" t="inlineStr">
        <is>
          <t>12:08</t>
        </is>
      </c>
      <c r="C2543" t="inlineStr">
        <is>
          <t>growth and a driver of jobs so so it</t>
        </is>
      </c>
      <c r="D2543">
        <f>HYPERLINK("https://www.youtube.com/watch?v=oyjIqtEVVB0&amp;t=728s", "Go to time")</f>
        <v/>
      </c>
    </row>
    <row r="2544">
      <c r="A2544">
        <f>HYPERLINK("https://www.youtube.com/watch?v=oyjIqtEVVB0", "Video")</f>
        <v/>
      </c>
      <c r="B2544" t="inlineStr">
        <is>
          <t>16:38</t>
        </is>
      </c>
      <c r="C2544" t="inlineStr">
        <is>
          <t>drive cars and burn</t>
        </is>
      </c>
      <c r="D2544">
        <f>HYPERLINK("https://www.youtube.com/watch?v=oyjIqtEVVB0&amp;t=998s", "Go to time")</f>
        <v/>
      </c>
    </row>
    <row r="2545">
      <c r="A2545">
        <f>HYPERLINK("https://www.youtube.com/watch?v=oyjIqtEVVB0", "Video")</f>
        <v/>
      </c>
      <c r="B2545" t="inlineStr">
        <is>
          <t>19:31</t>
        </is>
      </c>
      <c r="C2545" t="inlineStr">
        <is>
          <t>have a drive and then that's going to</t>
        </is>
      </c>
      <c r="D2545">
        <f>HYPERLINK("https://www.youtube.com/watch?v=oyjIqtEVVB0&amp;t=1171s", "Go to time")</f>
        <v/>
      </c>
    </row>
    <row r="2546">
      <c r="A2546">
        <f>HYPERLINK("https://www.youtube.com/watch?v=oyjIqtEVVB0", "Video")</f>
        <v/>
      </c>
      <c r="B2546" t="inlineStr">
        <is>
          <t>27:38</t>
        </is>
      </c>
      <c r="C2546" t="inlineStr">
        <is>
          <t>driven by um</t>
        </is>
      </c>
      <c r="D2546">
        <f>HYPERLINK("https://www.youtube.com/watch?v=oyjIqtEVVB0&amp;t=1658s", "Go to time")</f>
        <v/>
      </c>
    </row>
    <row r="2547">
      <c r="A2547">
        <f>HYPERLINK("https://www.youtube.com/watch?v=oyjIqtEVVB0", "Video")</f>
        <v/>
      </c>
      <c r="B2547" t="inlineStr">
        <is>
          <t>31:48</t>
        </is>
      </c>
      <c r="C2547" t="inlineStr">
        <is>
          <t>similar drivers right they have they</t>
        </is>
      </c>
      <c r="D2547">
        <f>HYPERLINK("https://www.youtube.com/watch?v=oyjIqtEVVB0&amp;t=1908s", "Go to time")</f>
        <v/>
      </c>
    </row>
    <row r="2548">
      <c r="A2548">
        <f>HYPERLINK("https://www.youtube.com/watch?v=uq-6T6TAu74", "Video")</f>
        <v/>
      </c>
      <c r="B2548" t="inlineStr">
        <is>
          <t>3:42</t>
        </is>
      </c>
      <c r="C2548" t="inlineStr">
        <is>
          <t>which is a key driver of altruism.</t>
        </is>
      </c>
      <c r="D2548">
        <f>HYPERLINK("https://www.youtube.com/watch?v=uq-6T6TAu74&amp;t=222s", "Go to time")</f>
        <v/>
      </c>
    </row>
    <row r="2549">
      <c r="A2549">
        <f>HYPERLINK("https://www.youtube.com/watch?v=uq-6T6TAu74", "Video")</f>
        <v/>
      </c>
      <c r="B2549" t="inlineStr">
        <is>
          <t>7:31</t>
        </is>
      </c>
      <c r="C2549" t="inlineStr">
        <is>
          <t>and driven to acts of extreme altruism.</t>
        </is>
      </c>
      <c r="D2549">
        <f>HYPERLINK("https://www.youtube.com/watch?v=uq-6T6TAu74&amp;t=451s", "Go to time")</f>
        <v/>
      </c>
    </row>
    <row r="2550">
      <c r="A2550">
        <f>HYPERLINK("https://www.youtube.com/watch?v=gyCxZaBboDU", "Video")</f>
        <v/>
      </c>
      <c r="B2550" t="inlineStr">
        <is>
          <t>2:59</t>
        </is>
      </c>
      <c r="C2550" t="inlineStr">
        <is>
          <t>So my friends would come
with their hard drives,</t>
        </is>
      </c>
      <c r="D2550">
        <f>HYPERLINK("https://www.youtube.com/watch?v=gyCxZaBboDU&amp;t=179s", "Go to time")</f>
        <v/>
      </c>
    </row>
    <row r="2551">
      <c r="A2551">
        <f>HYPERLINK("https://www.youtube.com/watch?v=C_78DM8fG6E", "Video")</f>
        <v/>
      </c>
      <c r="B2551" t="inlineStr">
        <is>
          <t>9:40</t>
        </is>
      </c>
      <c r="C2551" t="inlineStr">
        <is>
          <t>It's much more fun
to be in the driver's seat,</t>
        </is>
      </c>
      <c r="D2551">
        <f>HYPERLINK("https://www.youtube.com/watch?v=C_78DM8fG6E&amp;t=580s", "Go to time")</f>
        <v/>
      </c>
    </row>
    <row r="2552">
      <c r="A2552">
        <f>HYPERLINK("https://www.youtube.com/watch?v=kZeVIJqW1ts", "Video")</f>
        <v/>
      </c>
      <c r="B2552" t="inlineStr">
        <is>
          <t>5:33</t>
        </is>
      </c>
      <c r="C2552" t="inlineStr">
        <is>
          <t>We know that emotion-driven
information processing</t>
        </is>
      </c>
      <c r="D2552">
        <f>HYPERLINK("https://www.youtube.com/watch?v=kZeVIJqW1ts&amp;t=333s", "Go to time")</f>
        <v/>
      </c>
    </row>
    <row r="2553">
      <c r="A2553">
        <f>HYPERLINK("https://www.youtube.com/watch?v=kXGuWtR5ulg", "Video")</f>
        <v/>
      </c>
      <c r="B2553" t="inlineStr">
        <is>
          <t>5:48</t>
        </is>
      </c>
      <c r="C2553" t="inlineStr">
        <is>
          <t>through a pad donation drive at school.</t>
        </is>
      </c>
      <c r="D2553">
        <f>HYPERLINK("https://www.youtube.com/watch?v=kXGuWtR5ulg&amp;t=348s", "Go to time")</f>
        <v/>
      </c>
    </row>
    <row r="2554">
      <c r="A2554">
        <f>HYPERLINK("https://www.youtube.com/watch?v=kdqUhTnAgJU", "Video")</f>
        <v/>
      </c>
      <c r="B2554" t="inlineStr">
        <is>
          <t>7:39</t>
        </is>
      </c>
      <c r="C2554" t="inlineStr">
        <is>
          <t>that they're using to track people's cars
as they drive through town.</t>
        </is>
      </c>
      <c r="D2554">
        <f>HYPERLINK("https://www.youtube.com/watch?v=kdqUhTnAgJU&amp;t=459s", "Go to time")</f>
        <v/>
      </c>
    </row>
    <row r="2555">
      <c r="A2555">
        <f>HYPERLINK("https://www.youtube.com/watch?v=19zJCO1VBj4", "Video")</f>
        <v/>
      </c>
      <c r="B2555" t="inlineStr">
        <is>
          <t>2:59</t>
        </is>
      </c>
      <c r="C2555" t="inlineStr">
        <is>
          <t>to drive the single most important
transformation of carbon on this planet,</t>
        </is>
      </c>
      <c r="D2555">
        <f>HYPERLINK("https://www.youtube.com/watch?v=19zJCO1VBj4&amp;t=179s", "Go to time")</f>
        <v/>
      </c>
    </row>
    <row r="2556">
      <c r="A2556">
        <f>HYPERLINK("https://www.youtube.com/watch?v=19zJCO1VBj4", "Video")</f>
        <v/>
      </c>
      <c r="B2556" t="inlineStr">
        <is>
          <t>4:24</t>
        </is>
      </c>
      <c r="C2556" t="inlineStr">
        <is>
          <t>One of the major drivers
of that loss was the plow,</t>
        </is>
      </c>
      <c r="D2556">
        <f>HYPERLINK("https://www.youtube.com/watch?v=19zJCO1VBj4&amp;t=264s", "Go to time")</f>
        <v/>
      </c>
    </row>
    <row r="2557">
      <c r="A2557">
        <f>HYPERLINK("https://www.youtube.com/watch?v=19zJCO1VBj4", "Video")</f>
        <v/>
      </c>
      <c r="B2557" t="inlineStr">
        <is>
          <t>6:24</t>
        </is>
      </c>
      <c r="C2557" t="inlineStr">
        <is>
          <t>They drive really important
processes in soil,</t>
        </is>
      </c>
      <c r="D2557">
        <f>HYPERLINK("https://www.youtube.com/watch?v=19zJCO1VBj4&amp;t=384s", "Go to time")</f>
        <v/>
      </c>
    </row>
    <row r="2558">
      <c r="A2558">
        <f>HYPERLINK("https://www.youtube.com/watch?v=uEATpbQ9md4", "Video")</f>
        <v/>
      </c>
      <c r="B2558" t="inlineStr">
        <is>
          <t>2:39</t>
        </is>
      </c>
      <c r="C2558" t="inlineStr">
        <is>
          <t>As I was being driven</t>
        </is>
      </c>
      <c r="D2558">
        <f>HYPERLINK("https://www.youtube.com/watch?v=uEATpbQ9md4&amp;t=159s", "Go to time")</f>
        <v/>
      </c>
    </row>
    <row r="2559">
      <c r="A2559">
        <f>HYPERLINK("https://www.youtube.com/watch?v=zIwLWfaAg-8", "Video")</f>
        <v/>
      </c>
      <c r="B2559" t="inlineStr">
        <is>
          <t>18:20</t>
        </is>
      </c>
      <c r="C2559" t="inlineStr">
        <is>
          <t>I mean, there's some chance that any time
a human driver gets in a car,</t>
        </is>
      </c>
      <c r="D2559">
        <f>HYPERLINK("https://www.youtube.com/watch?v=zIwLWfaAg-8&amp;t=1100s", "Go to time")</f>
        <v/>
      </c>
    </row>
    <row r="2560">
      <c r="A2560">
        <f>HYPERLINK("https://www.youtube.com/watch?v=zIwLWfaAg-8", "Video")</f>
        <v/>
      </c>
      <c r="B2560" t="inlineStr">
        <is>
          <t>19:16</t>
        </is>
      </c>
      <c r="C2560" t="inlineStr">
        <is>
          <t>only by other drivers
who are rated five star,</t>
        </is>
      </c>
      <c r="D2560">
        <f>HYPERLINK("https://www.youtube.com/watch?v=zIwLWfaAg-8&amp;t=1156s", "Go to time")</f>
        <v/>
      </c>
    </row>
    <row r="2561">
      <c r="A2561">
        <f>HYPERLINK("https://www.youtube.com/watch?v=zIwLWfaAg-8", "Video")</f>
        <v/>
      </c>
      <c r="B2561" t="inlineStr">
        <is>
          <t>21:03</t>
        </is>
      </c>
      <c r="C2561" t="inlineStr">
        <is>
          <t>CA: That's pretty cool.
And short term, these aren't driverless.</t>
        </is>
      </c>
      <c r="D2561">
        <f>HYPERLINK("https://www.youtube.com/watch?v=zIwLWfaAg-8&amp;t=1263s", "Go to time")</f>
        <v/>
      </c>
    </row>
    <row r="2562">
      <c r="A2562">
        <f>HYPERLINK("https://www.youtube.com/watch?v=zIwLWfaAg-8", "Video")</f>
        <v/>
      </c>
      <c r="B2562" t="inlineStr">
        <is>
          <t>21:06</t>
        </is>
      </c>
      <c r="C2562" t="inlineStr">
        <is>
          <t>These are going to be trucks
that truck drivers want to drive.</t>
        </is>
      </c>
      <c r="D2562">
        <f>HYPERLINK("https://www.youtube.com/watch?v=zIwLWfaAg-8&amp;t=1266s", "Go to time")</f>
        <v/>
      </c>
    </row>
    <row r="2563">
      <c r="A2563">
        <f>HYPERLINK("https://www.youtube.com/watch?v=zIwLWfaAg-8", "Video")</f>
        <v/>
      </c>
      <c r="B2563" t="inlineStr">
        <is>
          <t>21:28</t>
        </is>
      </c>
      <c r="C2563" t="inlineStr">
        <is>
          <t>You can drive this
around like a sports car.</t>
        </is>
      </c>
      <c r="D2563">
        <f>HYPERLINK("https://www.youtube.com/watch?v=zIwLWfaAg-8&amp;t=1288s", "Go to time")</f>
        <v/>
      </c>
    </row>
    <row r="2564">
      <c r="A2564">
        <f>HYPERLINK("https://www.youtube.com/watch?v=zIwLWfaAg-8", "Video")</f>
        <v/>
      </c>
      <c r="B2564" t="inlineStr">
        <is>
          <t>21:53</t>
        </is>
      </c>
      <c r="C2564" t="inlineStr">
        <is>
          <t>CA: Wait, you've
already driven a prototype?</t>
        </is>
      </c>
      <c r="D2564">
        <f>HYPERLINK("https://www.youtube.com/watch?v=zIwLWfaAg-8&amp;t=1313s", "Go to time")</f>
        <v/>
      </c>
    </row>
    <row r="2565">
      <c r="A2565">
        <f>HYPERLINK("https://www.youtube.com/watch?v=zIwLWfaAg-8", "Video")</f>
        <v/>
      </c>
      <c r="B2565" t="inlineStr">
        <is>
          <t>22:24</t>
        </is>
      </c>
      <c r="C2565" t="inlineStr">
        <is>
          <t>You've got an electric car
in the driveway.</t>
        </is>
      </c>
      <c r="D2565">
        <f>HYPERLINK("https://www.youtube.com/watch?v=zIwLWfaAg-8&amp;t=1344s", "Go to time")</f>
        <v/>
      </c>
    </row>
    <row r="2566">
      <c r="A2566">
        <f>HYPERLINK("https://www.youtube.com/watch?v=zIwLWfaAg-8", "Video")</f>
        <v/>
      </c>
      <c r="B2566" t="inlineStr">
        <is>
          <t>36:45</t>
        </is>
      </c>
      <c r="C2566" t="inlineStr">
        <is>
          <t>and the laws of economics
will drive civilization</t>
        </is>
      </c>
      <c r="D2566">
        <f>HYPERLINK("https://www.youtube.com/watch?v=zIwLWfaAg-8&amp;t=2205s", "Go to time")</f>
        <v/>
      </c>
    </row>
    <row r="2567">
      <c r="A2567">
        <f>HYPERLINK("https://www.youtube.com/watch?v=zIwLWfaAg-8", "Video")</f>
        <v/>
      </c>
      <c r="B2567" t="inlineStr">
        <is>
          <t>38:58</t>
        </is>
      </c>
      <c r="C2567" t="inlineStr">
        <is>
          <t>And often it feels like you feel
like you need the one to drive the other.</t>
        </is>
      </c>
      <c r="D2567">
        <f>HYPERLINK("https://www.youtube.com/watch?v=zIwLWfaAg-8&amp;t=2338s", "Go to time")</f>
        <v/>
      </c>
    </row>
    <row r="2568">
      <c r="A2568">
        <f>HYPERLINK("https://www.youtube.com/watch?v=6iqXH9RPK1w", "Video")</f>
        <v/>
      </c>
      <c r="B2568" t="inlineStr">
        <is>
          <t>0:53</t>
        </is>
      </c>
      <c r="C2568" t="inlineStr">
        <is>
          <t>Those trucks then drive, fly,
and float all over the world.</t>
        </is>
      </c>
      <c r="D2568">
        <f>HYPERLINK("https://www.youtube.com/watch?v=6iqXH9RPK1w&amp;t=53s", "Go to time")</f>
        <v/>
      </c>
    </row>
    <row r="2569">
      <c r="A2569">
        <f>HYPERLINK("https://www.youtube.com/watch?v=coAopEn8Fn4", "Video")</f>
        <v/>
      </c>
      <c r="B2569" t="inlineStr">
        <is>
          <t>5:24</t>
        </is>
      </c>
      <c r="C2569" t="inlineStr">
        <is>
          <t>What we drink,
what we smoke, how we drive,</t>
        </is>
      </c>
      <c r="D2569">
        <f>HYPERLINK("https://www.youtube.com/watch?v=coAopEn8Fn4&amp;t=324s", "Go to time")</f>
        <v/>
      </c>
    </row>
    <row r="2570">
      <c r="A2570">
        <f>HYPERLINK("https://www.youtube.com/watch?v=rJmwZhy9Suk", "Video")</f>
        <v/>
      </c>
      <c r="B2570" t="inlineStr">
        <is>
          <t>5:11</t>
        </is>
      </c>
      <c r="C2570" t="inlineStr">
        <is>
          <t>For me, curiosity about these things
is a powerful driver,</t>
        </is>
      </c>
      <c r="D2570">
        <f>HYPERLINK("https://www.youtube.com/watch?v=rJmwZhy9Suk&amp;t=311s", "Go to time")</f>
        <v/>
      </c>
    </row>
    <row r="2571">
      <c r="A2571">
        <f>HYPERLINK("https://www.youtube.com/watch?v=gMsQO5u7-NQ", "Video")</f>
        <v/>
      </c>
      <c r="B2571" t="inlineStr">
        <is>
          <t>5:52</t>
        </is>
      </c>
      <c r="C2571" t="inlineStr">
        <is>
          <t>I see more than ever
why a future driven by AI</t>
        </is>
      </c>
      <c r="D2571">
        <f>HYPERLINK("https://www.youtube.com/watch?v=gMsQO5u7-NQ&amp;t=352s", "Go to time")</f>
        <v/>
      </c>
    </row>
    <row r="2572">
      <c r="A2572">
        <f>HYPERLINK("https://www.youtube.com/watch?v=gnbVwu04oiA", "Video")</f>
        <v/>
      </c>
      <c r="B2572" t="inlineStr">
        <is>
          <t>12:34</t>
        </is>
      </c>
      <c r="C2572" t="inlineStr">
        <is>
          <t>of why she is so particularly
driven and dedicated</t>
        </is>
      </c>
      <c r="D2572">
        <f>HYPERLINK("https://www.youtube.com/watch?v=gnbVwu04oiA&amp;t=754s", "Go to time")</f>
        <v/>
      </c>
    </row>
    <row r="2573">
      <c r="A2573">
        <f>HYPERLINK("https://www.youtube.com/watch?v=tbvUCrS5_5I", "Video")</f>
        <v/>
      </c>
      <c r="B2573" t="inlineStr">
        <is>
          <t>10:15</t>
        </is>
      </c>
      <c r="C2573" t="inlineStr">
        <is>
          <t>This deforestation drives extinction.</t>
        </is>
      </c>
      <c r="D2573">
        <f>HYPERLINK("https://www.youtube.com/watch?v=tbvUCrS5_5I&amp;t=615s", "Go to time")</f>
        <v/>
      </c>
    </row>
    <row r="2574">
      <c r="A2574">
        <f>HYPERLINK("https://www.youtube.com/watch?v=G-lWWxJPfFo", "Video")</f>
        <v/>
      </c>
      <c r="B2574" t="inlineStr">
        <is>
          <t>4:20</t>
        </is>
      </c>
      <c r="C2574" t="inlineStr">
        <is>
          <t>our cat had left in the driveway,</t>
        </is>
      </c>
      <c r="D2574">
        <f>HYPERLINK("https://www.youtube.com/watch?v=G-lWWxJPfFo&amp;t=260s", "Go to time")</f>
        <v/>
      </c>
    </row>
    <row r="2575">
      <c r="A2575">
        <f>HYPERLINK("https://www.youtube.com/watch?v=IIT29JDuMXs", "Video")</f>
        <v/>
      </c>
      <c r="B2575" t="inlineStr">
        <is>
          <t>2:31</t>
        </is>
      </c>
      <c r="C2575" t="inlineStr">
        <is>
          <t>I am driven to do something about hunger.</t>
        </is>
      </c>
      <c r="D2575">
        <f>HYPERLINK("https://www.youtube.com/watch?v=IIT29JDuMXs&amp;t=151s", "Go to time")</f>
        <v/>
      </c>
    </row>
    <row r="2576">
      <c r="A2576">
        <f>HYPERLINK("https://www.youtube.com/watch?v=NWQ8y3TksrQ", "Video")</f>
        <v/>
      </c>
      <c r="B2576" t="inlineStr">
        <is>
          <t>2:07</t>
        </is>
      </c>
      <c r="C2576" t="inlineStr">
        <is>
          <t>already owned 28 digitally-driven
gizmos and gadgets.</t>
        </is>
      </c>
      <c r="D2576">
        <f>HYPERLINK("https://www.youtube.com/watch?v=NWQ8y3TksrQ&amp;t=127s", "Go to time")</f>
        <v/>
      </c>
    </row>
    <row r="2577">
      <c r="A2577">
        <f>HYPERLINK("https://www.youtube.com/watch?v=bfGQpe6FQcw", "Video")</f>
        <v/>
      </c>
      <c r="B2577" t="inlineStr">
        <is>
          <t>0:02</t>
        </is>
      </c>
      <c r="C2577" t="inlineStr">
        <is>
          <t>Nobel Prize winners, truck drivers, billionaires,</t>
        </is>
      </c>
      <c r="D2577">
        <f>HYPERLINK("https://www.youtube.com/watch?v=bfGQpe6FQcw&amp;t=2s", "Go to time")</f>
        <v/>
      </c>
    </row>
    <row r="2578">
      <c r="A2578">
        <f>HYPERLINK("https://www.youtube.com/watch?v=HLwvyD1MbSM", "Video")</f>
        <v/>
      </c>
      <c r="B2578" t="inlineStr">
        <is>
          <t>7:57</t>
        </is>
      </c>
      <c r="C2578" t="inlineStr">
        <is>
          <t>We know food is a giant driver</t>
        </is>
      </c>
      <c r="D2578">
        <f>HYPERLINK("https://www.youtube.com/watch?v=HLwvyD1MbSM&amp;t=477s", "Go to time")</f>
        <v/>
      </c>
    </row>
    <row r="2579">
      <c r="A2579">
        <f>HYPERLINK("https://www.youtube.com/watch?v=HLwvyD1MbSM", "Video")</f>
        <v/>
      </c>
      <c r="B2579" t="inlineStr">
        <is>
          <t>8:04</t>
        </is>
      </c>
      <c r="C2579" t="inlineStr">
        <is>
          <t>It's the number-one driver
of biodiversity loss, by a lot,</t>
        </is>
      </c>
      <c r="D2579">
        <f>HYPERLINK("https://www.youtube.com/watch?v=HLwvyD1MbSM&amp;t=484s", "Go to time")</f>
        <v/>
      </c>
    </row>
    <row r="2580">
      <c r="A2580">
        <f>HYPERLINK("https://www.youtube.com/watch?v=HLwvyD1MbSM", "Video")</f>
        <v/>
      </c>
      <c r="B2580" t="inlineStr">
        <is>
          <t>8:08</t>
        </is>
      </c>
      <c r="C2580" t="inlineStr">
        <is>
          <t>number-one driver of deforestation
and land-use change,</t>
        </is>
      </c>
      <c r="D2580">
        <f>HYPERLINK("https://www.youtube.com/watch?v=HLwvyD1MbSM&amp;t=488s", "Go to time")</f>
        <v/>
      </c>
    </row>
    <row r="2581">
      <c r="A2581">
        <f>HYPERLINK("https://www.youtube.com/watch?v=HLwvyD1MbSM", "Video")</f>
        <v/>
      </c>
      <c r="B2581" t="inlineStr">
        <is>
          <t>8:18</t>
        </is>
      </c>
      <c r="C2581" t="inlineStr">
        <is>
          <t>And it's the number-two driver
of greenhouse-gas emissions, globally.</t>
        </is>
      </c>
      <c r="D2581">
        <f>HYPERLINK("https://www.youtube.com/watch?v=HLwvyD1MbSM&amp;t=498s", "Go to time")</f>
        <v/>
      </c>
    </row>
    <row r="2582">
      <c r="A2582">
        <f>HYPERLINK("https://www.youtube.com/watch?v=dZtnOnqcDN4", "Video")</f>
        <v/>
      </c>
      <c r="B2582" t="inlineStr">
        <is>
          <t>2:47</t>
        </is>
      </c>
      <c r="C2582" t="inlineStr">
        <is>
          <t>we can drive down the cost
of renewable energy so far</t>
        </is>
      </c>
      <c r="D2582">
        <f>HYPERLINK("https://www.youtube.com/watch?v=dZtnOnqcDN4&amp;t=167s", "Go to time")</f>
        <v/>
      </c>
    </row>
    <row r="2583">
      <c r="A2583">
        <f>HYPERLINK("https://www.youtube.com/watch?v=RZgkjEdMbSw", "Video")</f>
        <v/>
      </c>
      <c r="B2583" t="inlineStr">
        <is>
          <t>2:44</t>
        </is>
      </c>
      <c r="C2583" t="inlineStr">
        <is>
          <t>She's had some drinks,
so I drive us in her parents' car,</t>
        </is>
      </c>
      <c r="D2583">
        <f>HYPERLINK("https://www.youtube.com/watch?v=RZgkjEdMbSw&amp;t=164s", "Go to time")</f>
        <v/>
      </c>
    </row>
    <row r="2584">
      <c r="A2584">
        <f>HYPERLINK("https://www.youtube.com/watch?v=9OLxBvLvCoM", "Video")</f>
        <v/>
      </c>
      <c r="B2584" t="inlineStr">
        <is>
          <t>7:59</t>
        </is>
      </c>
      <c r="C2584" t="inlineStr">
        <is>
          <t>and drive down its price.</t>
        </is>
      </c>
      <c r="D2584">
        <f>HYPERLINK("https://www.youtube.com/watch?v=9OLxBvLvCoM&amp;t=479s", "Go to time")</f>
        <v/>
      </c>
    </row>
    <row r="2585">
      <c r="A2585">
        <f>HYPERLINK("https://www.youtube.com/watch?v=9OLxBvLvCoM", "Video")</f>
        <v/>
      </c>
      <c r="B2585" t="inlineStr">
        <is>
          <t>8:25</t>
        </is>
      </c>
      <c r="C2585" t="inlineStr">
        <is>
          <t>and drive down the price
of green hydrogen.</t>
        </is>
      </c>
      <c r="D2585">
        <f>HYPERLINK("https://www.youtube.com/watch?v=9OLxBvLvCoM&amp;t=505s", "Go to time")</f>
        <v/>
      </c>
    </row>
    <row r="2586">
      <c r="A2586">
        <f>HYPERLINK("https://www.youtube.com/watch?v=hqpKUkYqreM", "Video")</f>
        <v/>
      </c>
      <c r="B2586" t="inlineStr">
        <is>
          <t>19:44</t>
        </is>
      </c>
      <c r="C2586" t="inlineStr">
        <is>
          <t>and basically drives
Google's most important AI efforts.</t>
        </is>
      </c>
      <c r="D2586">
        <f>HYPERLINK("https://www.youtube.com/watch?v=hqpKUkYqreM&amp;t=1184s", "Go to time")</f>
        <v/>
      </c>
    </row>
    <row r="2587">
      <c r="A2587">
        <f>HYPERLINK("https://www.youtube.com/watch?v=dzBj5rRmTv8", "Video")</f>
        <v/>
      </c>
      <c r="B2587" t="inlineStr">
        <is>
          <t>5:42</t>
        </is>
      </c>
      <c r="C2587" t="inlineStr">
        <is>
          <t>Driven by adversity,</t>
        </is>
      </c>
      <c r="D2587">
        <f>HYPERLINK("https://www.youtube.com/watch?v=dzBj5rRmTv8&amp;t=342s", "Go to time")</f>
        <v/>
      </c>
    </row>
    <row r="2588">
      <c r="A2588">
        <f>HYPERLINK("https://www.youtube.com/watch?v=dzBj5rRmTv8", "Video")</f>
        <v/>
      </c>
      <c r="B2588" t="inlineStr">
        <is>
          <t>7:58</t>
        </is>
      </c>
      <c r="C2588" t="inlineStr">
        <is>
          <t>which is driven by their own
unique challenges and what I call</t>
        </is>
      </c>
      <c r="D2588">
        <f>HYPERLINK("https://www.youtube.com/watch?v=dzBj5rRmTv8&amp;t=478s", "Go to time")</f>
        <v/>
      </c>
    </row>
    <row r="2589">
      <c r="A2589">
        <f>HYPERLINK("https://www.youtube.com/watch?v=WaE2IlpO4vQ", "Video")</f>
        <v/>
      </c>
      <c r="B2589" t="inlineStr">
        <is>
          <t>0:41</t>
        </is>
      </c>
      <c r="C2589" t="inlineStr">
        <is>
          <t>and you know this
if you drive for Uber or Lyft,</t>
        </is>
      </c>
      <c r="D2589">
        <f>HYPERLINK("https://www.youtube.com/watch?v=WaE2IlpO4vQ&amp;t=41s", "Go to time")</f>
        <v/>
      </c>
    </row>
    <row r="2590">
      <c r="A2590">
        <f>HYPERLINK("https://www.youtube.com/watch?v=WaE2IlpO4vQ", "Video")</f>
        <v/>
      </c>
      <c r="B2590" t="inlineStr">
        <is>
          <t>3:27</t>
        </is>
      </c>
      <c r="C2590" t="inlineStr">
        <is>
          <t>And it drives me crazy</t>
        </is>
      </c>
      <c r="D2590">
        <f>HYPERLINK("https://www.youtube.com/watch?v=WaE2IlpO4vQ&amp;t=207s", "Go to time")</f>
        <v/>
      </c>
    </row>
    <row r="2591">
      <c r="A2591">
        <f>HYPERLINK("https://www.youtube.com/watch?v=g-ONUFFt2qM", "Video")</f>
        <v/>
      </c>
      <c r="B2591" t="inlineStr">
        <is>
          <t>3:28</t>
        </is>
      </c>
      <c r="C2591" t="inlineStr">
        <is>
          <t>an emotion that greatly drives
the music I create today.</t>
        </is>
      </c>
      <c r="D2591">
        <f>HYPERLINK("https://www.youtube.com/watch?v=g-ONUFFt2qM&amp;t=208s", "Go to time")</f>
        <v/>
      </c>
    </row>
    <row r="2592">
      <c r="A2592">
        <f>HYPERLINK("https://www.youtube.com/watch?v=p-Yd4PdmYzg", "Video")</f>
        <v/>
      </c>
      <c r="B2592" t="inlineStr">
        <is>
          <t>1:46</t>
        </is>
      </c>
      <c r="C2592" t="inlineStr">
        <is>
          <t>have gone into overdrive</t>
        </is>
      </c>
      <c r="D2592">
        <f>HYPERLINK("https://www.youtube.com/watch?v=p-Yd4PdmYzg&amp;t=106s", "Go to time")</f>
        <v/>
      </c>
    </row>
    <row r="2593">
      <c r="A2593">
        <f>HYPERLINK("https://www.youtube.com/watch?v=p-Yd4PdmYzg", "Video")</f>
        <v/>
      </c>
      <c r="B2593" t="inlineStr">
        <is>
          <t>10:53</t>
        </is>
      </c>
      <c r="C2593" t="inlineStr">
        <is>
          <t>Our biology drives our brain, our bodies</t>
        </is>
      </c>
      <c r="D2593">
        <f>HYPERLINK("https://www.youtube.com/watch?v=p-Yd4PdmYzg&amp;t=653s", "Go to time")</f>
        <v/>
      </c>
    </row>
    <row r="2594">
      <c r="A2594">
        <f>HYPERLINK("https://www.youtube.com/watch?v=eDPmvxtbC10", "Video")</f>
        <v/>
      </c>
      <c r="B2594" t="inlineStr">
        <is>
          <t>2:57</t>
        </is>
      </c>
      <c r="C2594" t="inlineStr">
        <is>
          <t>Driver: I’m Mayor Zarifa Ghafari’s driver,
and I guard her 24/7.</t>
        </is>
      </c>
      <c r="D2594">
        <f>HYPERLINK("https://www.youtube.com/watch?v=eDPmvxtbC10&amp;t=177s", "Go to time")</f>
        <v/>
      </c>
    </row>
    <row r="2595">
      <c r="A2595">
        <f>HYPERLINK("https://www.youtube.com/watch?v=eDPmvxtbC10", "Video")</f>
        <v/>
      </c>
      <c r="B2595" t="inlineStr">
        <is>
          <t>3:30</t>
        </is>
      </c>
      <c r="C2595" t="inlineStr">
        <is>
          <t>Slow down. Drive slowly.</t>
        </is>
      </c>
      <c r="D2595">
        <f>HYPERLINK("https://www.youtube.com/watch?v=eDPmvxtbC10&amp;t=210s", "Go to time")</f>
        <v/>
      </c>
    </row>
    <row r="2596">
      <c r="A2596">
        <f>HYPERLINK("https://www.youtube.com/watch?v=eDPmvxtbC10", "Video")</f>
        <v/>
      </c>
      <c r="B2596" t="inlineStr">
        <is>
          <t>3:45</t>
        </is>
      </c>
      <c r="C2596" t="inlineStr">
        <is>
          <t>Driver: I drive above the speed limit,</t>
        </is>
      </c>
      <c r="D2596">
        <f>HYPERLINK("https://www.youtube.com/watch?v=eDPmvxtbC10&amp;t=225s", "Go to time")</f>
        <v/>
      </c>
    </row>
    <row r="2597">
      <c r="A2597">
        <f>HYPERLINK("https://www.youtube.com/watch?v=eDPmvxtbC10", "Video")</f>
        <v/>
      </c>
      <c r="B2597" t="inlineStr">
        <is>
          <t>3:51</t>
        </is>
      </c>
      <c r="C2597" t="inlineStr">
        <is>
          <t>because the road
I drive Zarifa on every day</t>
        </is>
      </c>
      <c r="D2597">
        <f>HYPERLINK("https://www.youtube.com/watch?v=eDPmvxtbC10&amp;t=231s", "Go to time")</f>
        <v/>
      </c>
    </row>
    <row r="2598">
      <c r="A2598">
        <f>HYPERLINK("https://www.youtube.com/watch?v=vVx39Jv6PFM", "Video")</f>
        <v/>
      </c>
      <c r="B2598" t="inlineStr">
        <is>
          <t>0:26</t>
        </is>
      </c>
      <c r="C2598" t="inlineStr">
        <is>
          <t>And I went through the drive-through
of a local coffee shop.</t>
        </is>
      </c>
      <c r="D2598">
        <f>HYPERLINK("https://www.youtube.com/watch?v=vVx39Jv6PFM&amp;t=26s", "Go to time")</f>
        <v/>
      </c>
    </row>
    <row r="2599">
      <c r="A2599">
        <f>HYPERLINK("https://www.youtube.com/watch?v=vVx39Jv6PFM", "Video")</f>
        <v/>
      </c>
      <c r="B2599" t="inlineStr">
        <is>
          <t>0:31</t>
        </is>
      </c>
      <c r="C2599" t="inlineStr">
        <is>
          <t>"Thank you, ma'am. Drive right around."</t>
        </is>
      </c>
      <c r="D2599">
        <f>HYPERLINK("https://www.youtube.com/watch?v=vVx39Jv6PFM&amp;t=31s", "Go to time")</f>
        <v/>
      </c>
    </row>
    <row r="2600">
      <c r="A2600">
        <f>HYPERLINK("https://www.youtube.com/watch?v=urOCG-MlB9g", "Video")</f>
        <v/>
      </c>
      <c r="B2600" t="inlineStr">
        <is>
          <t>5:28</t>
        </is>
      </c>
      <c r="C2600" t="inlineStr">
        <is>
          <t>is to drive his SUV
against the current up that creek.</t>
        </is>
      </c>
      <c r="D2600">
        <f>HYPERLINK("https://www.youtube.com/watch?v=urOCG-MlB9g&amp;t=328s", "Go to time")</f>
        <v/>
      </c>
    </row>
    <row r="2601">
      <c r="A2601">
        <f>HYPERLINK("https://www.youtube.com/watch?v=eZ5MM28abKo", "Video")</f>
        <v/>
      </c>
      <c r="B2601" t="inlineStr">
        <is>
          <t>2:27</t>
        </is>
      </c>
      <c r="C2601" t="inlineStr">
        <is>
          <t>the END Fund has identified five key areas
where they can drive improvement.</t>
        </is>
      </c>
      <c r="D2601">
        <f>HYPERLINK("https://www.youtube.com/watch?v=eZ5MM28abKo&amp;t=147s", "Go to time")</f>
        <v/>
      </c>
    </row>
    <row r="2602">
      <c r="A2602">
        <f>HYPERLINK("https://www.youtube.com/watch?v=SGTMSV8QUrs", "Video")</f>
        <v/>
      </c>
      <c r="B2602" t="inlineStr">
        <is>
          <t>0:18</t>
        </is>
      </c>
      <c r="C2602" t="inlineStr">
        <is>
          <t>I took one of my most important
drives of my life.</t>
        </is>
      </c>
      <c r="D2602">
        <f>HYPERLINK("https://www.youtube.com/watch?v=SGTMSV8QUrs&amp;t=18s", "Go to time")</f>
        <v/>
      </c>
    </row>
    <row r="2603">
      <c r="A2603">
        <f>HYPERLINK("https://www.youtube.com/watch?v=NX0Plqw73K0", "Video")</f>
        <v/>
      </c>
      <c r="B2603" t="inlineStr">
        <is>
          <t>4:26</t>
        </is>
      </c>
      <c r="C2603" t="inlineStr">
        <is>
          <t>where cars can drive themselves,</t>
        </is>
      </c>
      <c r="D2603">
        <f>HYPERLINK("https://www.youtube.com/watch?v=NX0Plqw73K0&amp;t=266s", "Go to time")</f>
        <v/>
      </c>
    </row>
    <row r="2604">
      <c r="A2604">
        <f>HYPERLINK("https://www.youtube.com/watch?v=NX0Plqw73K0", "Video")</f>
        <v/>
      </c>
      <c r="B2604" t="inlineStr">
        <is>
          <t>4:34</t>
        </is>
      </c>
      <c r="C2604" t="inlineStr">
        <is>
          <t>us humans need in order to drive
at an even greater scale</t>
        </is>
      </c>
      <c r="D2604">
        <f>HYPERLINK("https://www.youtube.com/watch?v=NX0Plqw73K0&amp;t=274s", "Go to time")</f>
        <v/>
      </c>
    </row>
    <row r="2605">
      <c r="A2605">
        <f>HYPERLINK("https://www.youtube.com/watch?v=YRvf00NooN8", "Video")</f>
        <v/>
      </c>
      <c r="B2605" t="inlineStr">
        <is>
          <t>0:31</t>
        </is>
      </c>
      <c r="C2605" t="inlineStr">
        <is>
          <t>you said that that was really
just a big driver.</t>
        </is>
      </c>
      <c r="D2605">
        <f>HYPERLINK("https://www.youtube.com/watch?v=YRvf00NooN8&amp;t=31s", "Go to time")</f>
        <v/>
      </c>
    </row>
    <row r="2606">
      <c r="A2606">
        <f>HYPERLINK("https://www.youtube.com/watch?v=YRvf00NooN8", "Video")</f>
        <v/>
      </c>
      <c r="B2606" t="inlineStr">
        <is>
          <t>3:55</t>
        </is>
      </c>
      <c r="C2606" t="inlineStr">
        <is>
          <t>So that's going to really be
the fundamental rate driver.</t>
        </is>
      </c>
      <c r="D2606">
        <f>HYPERLINK("https://www.youtube.com/watch?v=YRvf00NooN8&amp;t=235s", "Go to time")</f>
        <v/>
      </c>
    </row>
    <row r="2607">
      <c r="A2607">
        <f>HYPERLINK("https://www.youtube.com/watch?v=YRvf00NooN8", "Video")</f>
        <v/>
      </c>
      <c r="B2607" t="inlineStr">
        <is>
          <t>14:41</t>
        </is>
      </c>
      <c r="C2607" t="inlineStr">
        <is>
          <t>automatically label the video
for cars, lane lines, drive space.</t>
        </is>
      </c>
      <c r="D2607">
        <f>HYPERLINK("https://www.youtube.com/watch?v=YRvf00NooN8&amp;t=881s", "Go to time")</f>
        <v/>
      </c>
    </row>
    <row r="2608">
      <c r="A2608">
        <f>HYPERLINK("https://www.youtube.com/watch?v=YRvf00NooN8", "Video")</f>
        <v/>
      </c>
      <c r="B2608" t="inlineStr">
        <is>
          <t>16:39</t>
        </is>
      </c>
      <c r="C2608" t="inlineStr">
        <is>
          <t>basically the car will be able
to drive without interventions</t>
        </is>
      </c>
      <c r="D2608">
        <f>HYPERLINK("https://www.youtube.com/watch?v=YRvf00NooN8&amp;t=999s", "Go to time")</f>
        <v/>
      </c>
    </row>
    <row r="2609">
      <c r="A2609">
        <f>HYPERLINK("https://www.youtube.com/watch?v=YRvf00NooN8", "Video")</f>
        <v/>
      </c>
      <c r="B2609" t="inlineStr">
        <is>
          <t>16:44</t>
        </is>
      </c>
      <c r="C2609" t="inlineStr">
        <is>
          <t>I mean, the car currently
drives me around Austin</t>
        </is>
      </c>
      <c r="D2609">
        <f>HYPERLINK("https://www.youtube.com/watch?v=YRvf00NooN8&amp;t=1004s", "Go to time")</f>
        <v/>
      </c>
    </row>
    <row r="2610">
      <c r="A2610">
        <f>HYPERLINK("https://www.youtube.com/watch?v=YRvf00NooN8", "Video")</f>
        <v/>
      </c>
      <c r="B2610" t="inlineStr">
        <is>
          <t>18:01</t>
        </is>
      </c>
      <c r="C2610" t="inlineStr">
        <is>
          <t>to drive people to be ambitious?</t>
        </is>
      </c>
      <c r="D2610">
        <f>HYPERLINK("https://www.youtube.com/watch?v=YRvf00NooN8&amp;t=1081s", "Go to time")</f>
        <v/>
      </c>
    </row>
    <row r="2611">
      <c r="A2611">
        <f>HYPERLINK("https://www.youtube.com/watch?v=YRvf00NooN8", "Video")</f>
        <v/>
      </c>
      <c r="B2611" t="inlineStr">
        <is>
          <t>61:55</t>
        </is>
      </c>
      <c r="C2611" t="inlineStr">
        <is>
          <t>CA: I mean, I personally think
you have shown that you are mostly driven</t>
        </is>
      </c>
      <c r="D2611">
        <f>HYPERLINK("https://www.youtube.com/watch?v=YRvf00NooN8&amp;t=3715s", "Go to time")</f>
        <v/>
      </c>
    </row>
    <row r="2612">
      <c r="A2612">
        <f>HYPERLINK("https://www.youtube.com/watch?v=YRvf00NooN8", "Video")</f>
        <v/>
      </c>
      <c r="B2612" t="inlineStr">
        <is>
          <t>64:14</t>
        </is>
      </c>
      <c r="C2612" t="inlineStr">
        <is>
          <t>CA: What drives you on a day-to-day
basis to do what you do?</t>
        </is>
      </c>
      <c r="D2612">
        <f>HYPERLINK("https://www.youtube.com/watch?v=YRvf00NooN8&amp;t=3854s", "Go to time")</f>
        <v/>
      </c>
    </row>
    <row r="2613">
      <c r="A2613">
        <f>HYPERLINK("https://www.youtube.com/watch?v=C0dmOPDLKhY", "Video")</f>
        <v/>
      </c>
      <c r="B2613" t="inlineStr">
        <is>
          <t>0:58</t>
        </is>
      </c>
      <c r="C2613" t="inlineStr">
        <is>
          <t>and it was even too much work
to go out to the end of the driveway</t>
        </is>
      </c>
      <c r="D2613">
        <f>HYPERLINK("https://www.youtube.com/watch?v=C0dmOPDLKhY&amp;t=58s", "Go to time")</f>
        <v/>
      </c>
    </row>
    <row r="2614">
      <c r="A2614">
        <f>HYPERLINK("https://www.youtube.com/watch?v=RxrB7PDLJ18", "Video")</f>
        <v/>
      </c>
      <c r="B2614" t="inlineStr">
        <is>
          <t>4:20</t>
        </is>
      </c>
      <c r="C2614" t="inlineStr">
        <is>
          <t>and drive these little antennas
that transmit the energy.</t>
        </is>
      </c>
      <c r="D2614">
        <f>HYPERLINK("https://www.youtube.com/watch?v=RxrB7PDLJ18&amp;t=260s", "Go to time")</f>
        <v/>
      </c>
    </row>
    <row r="2615">
      <c r="A2615">
        <f>HYPERLINK("https://www.youtube.com/watch?v=DAk-9LvYU1Q", "Video")</f>
        <v/>
      </c>
      <c r="B2615" t="inlineStr">
        <is>
          <t>12:11</t>
        </is>
      </c>
      <c r="C2615" t="inlineStr">
        <is>
          <t>we are in the driver's seat,</t>
        </is>
      </c>
      <c r="D2615">
        <f>HYPERLINK("https://www.youtube.com/watch?v=DAk-9LvYU1Q&amp;t=731s", "Go to time")</f>
        <v/>
      </c>
    </row>
    <row r="2616">
      <c r="A2616">
        <f>HYPERLINK("https://www.youtube.com/watch?v=uDO0POqZEU8", "Video")</f>
        <v/>
      </c>
      <c r="B2616" t="inlineStr">
        <is>
          <t>2:12</t>
        </is>
      </c>
      <c r="C2616" t="inlineStr">
        <is>
          <t>And this was driven from the rage
of the reaction of racism that was --"</t>
        </is>
      </c>
      <c r="D2616">
        <f>HYPERLINK("https://www.youtube.com/watch?v=uDO0POqZEU8&amp;t=132s", "Go to time")</f>
        <v/>
      </c>
    </row>
    <row r="2617">
      <c r="A2617">
        <f>HYPERLINK("https://www.youtube.com/watch?v=JpytM780stk", "Video")</f>
        <v/>
      </c>
      <c r="B2617" t="inlineStr">
        <is>
          <t>7:31</t>
        </is>
      </c>
      <c r="C2617" t="inlineStr">
        <is>
          <t>it drives you towards the things
that you want to achieve.</t>
        </is>
      </c>
      <c r="D2617">
        <f>HYPERLINK("https://www.youtube.com/watch?v=JpytM780stk&amp;t=451s", "Go to time")</f>
        <v/>
      </c>
    </row>
    <row r="2618">
      <c r="A2618">
        <f>HYPERLINK("https://www.youtube.com/watch?v=zamvnyBB-SU", "Video")</f>
        <v/>
      </c>
      <c r="B2618" t="inlineStr">
        <is>
          <t>6:56</t>
        </is>
      </c>
      <c r="C2618" t="inlineStr">
        <is>
          <t>And a large portion of these costs
are driven by investments</t>
        </is>
      </c>
      <c r="D2618">
        <f>HYPERLINK("https://www.youtube.com/watch?v=zamvnyBB-SU&amp;t=416s", "Go to time")</f>
        <v/>
      </c>
    </row>
    <row r="2619">
      <c r="A2619">
        <f>HYPERLINK("https://www.youtube.com/watch?v=zamvnyBB-SU", "Video")</f>
        <v/>
      </c>
      <c r="B2619" t="inlineStr">
        <is>
          <t>8:38</t>
        </is>
      </c>
      <c r="C2619" t="inlineStr">
        <is>
          <t>So we see a delivery driver
deliver the medicine</t>
        </is>
      </c>
      <c r="D2619">
        <f>HYPERLINK("https://www.youtube.com/watch?v=zamvnyBB-SU&amp;t=518s", "Go to time")</f>
        <v/>
      </c>
    </row>
    <row r="2620">
      <c r="A2620">
        <f>HYPERLINK("https://www.youtube.com/watch?v=zamvnyBB-SU", "Video")</f>
        <v/>
      </c>
      <c r="B2620" t="inlineStr">
        <is>
          <t>9:19</t>
        </is>
      </c>
      <c r="C2620" t="inlineStr">
        <is>
          <t>And there's no need anymore
to drive hours and hours</t>
        </is>
      </c>
      <c r="D2620">
        <f>HYPERLINK("https://www.youtube.com/watch?v=zamvnyBB-SU&amp;t=559s", "Go to time")</f>
        <v/>
      </c>
    </row>
    <row r="2621">
      <c r="A2621">
        <f>HYPERLINK("https://www.youtube.com/watch?v=dKob6b8QzkU", "Video")</f>
        <v/>
      </c>
      <c r="B2621" t="inlineStr">
        <is>
          <t>5:20</t>
        </is>
      </c>
      <c r="C2621" t="inlineStr">
        <is>
          <t>What drives people</t>
        </is>
      </c>
      <c r="D2621">
        <f>HYPERLINK("https://www.youtube.com/watch?v=dKob6b8QzkU&amp;t=320s", "Go to time")</f>
        <v/>
      </c>
    </row>
    <row r="2622">
      <c r="A2622">
        <f>HYPERLINK("https://www.youtube.com/watch?v=D55ctBYF3AY", "Video")</f>
        <v/>
      </c>
      <c r="B2622" t="inlineStr">
        <is>
          <t>14:29</t>
        </is>
      </c>
      <c r="C2622" t="inlineStr">
        <is>
          <t>would amount to shifting
from a world that's driven and run</t>
        </is>
      </c>
      <c r="D2622">
        <f>HYPERLINK("https://www.youtube.com/watch?v=D55ctBYF3AY&amp;t=869s", "Go to time")</f>
        <v/>
      </c>
    </row>
    <row r="2623">
      <c r="A2623">
        <f>HYPERLINK("https://www.youtube.com/watch?v=D55ctBYF3AY", "Video")</f>
        <v/>
      </c>
      <c r="B2623" t="inlineStr">
        <is>
          <t>14:37</t>
        </is>
      </c>
      <c r="C2623" t="inlineStr">
        <is>
          <t>to world that's driven by time well spent.</t>
        </is>
      </c>
      <c r="D2623">
        <f>HYPERLINK("https://www.youtube.com/watch?v=D55ctBYF3AY&amp;t=877s", "Go to time")</f>
        <v/>
      </c>
    </row>
    <row r="2624">
      <c r="A2624">
        <f>HYPERLINK("https://www.youtube.com/watch?v=6nm8D0CkLZ4", "Video")</f>
        <v/>
      </c>
      <c r="B2624" t="inlineStr">
        <is>
          <t>2:13</t>
        </is>
      </c>
      <c r="C2624" t="inlineStr">
        <is>
          <t>to drive change and to close
equity gaps across America.</t>
        </is>
      </c>
      <c r="D2624">
        <f>HYPERLINK("https://www.youtube.com/watch?v=6nm8D0CkLZ4&amp;t=133s", "Go to time")</f>
        <v/>
      </c>
    </row>
    <row r="2625">
      <c r="A2625">
        <f>HYPERLINK("https://www.youtube.com/watch?v=QIr_eNVtJ58", "Video")</f>
        <v/>
      </c>
      <c r="B2625" t="inlineStr">
        <is>
          <t>22:12</t>
        </is>
      </c>
      <c r="C2625" t="inlineStr">
        <is>
          <t>And so I learned how to drive,</t>
        </is>
      </c>
      <c r="D2625">
        <f>HYPERLINK("https://www.youtube.com/watch?v=QIr_eNVtJ58&amp;t=1332s", "Go to time")</f>
        <v/>
      </c>
    </row>
    <row r="2626">
      <c r="A2626">
        <f>HYPERLINK("https://www.youtube.com/watch?v=hfznpykprP0", "Video")</f>
        <v/>
      </c>
      <c r="B2626" t="inlineStr">
        <is>
          <t>3:17</t>
        </is>
      </c>
      <c r="C2626" t="inlineStr">
        <is>
          <t>were driven by powerful narratives,</t>
        </is>
      </c>
      <c r="D2626">
        <f>HYPERLINK("https://www.youtube.com/watch?v=hfznpykprP0&amp;t=197s", "Go to time")</f>
        <v/>
      </c>
    </row>
    <row r="2627">
      <c r="A2627">
        <f>HYPERLINK("https://www.youtube.com/watch?v=hfznpykprP0", "Video")</f>
        <v/>
      </c>
      <c r="B2627" t="inlineStr">
        <is>
          <t>12:03</t>
        </is>
      </c>
      <c r="C2627" t="inlineStr">
        <is>
          <t>each driven also to invest in securing
their intellectual and cultural legacy.</t>
        </is>
      </c>
      <c r="D2627">
        <f>HYPERLINK("https://www.youtube.com/watch?v=hfznpykprP0&amp;t=723s", "Go to time")</f>
        <v/>
      </c>
    </row>
    <row r="2628">
      <c r="A2628">
        <f>HYPERLINK("https://www.youtube.com/watch?v=hfznpykprP0", "Video")</f>
        <v/>
      </c>
      <c r="B2628" t="inlineStr">
        <is>
          <t>14:59</t>
        </is>
      </c>
      <c r="C2628" t="inlineStr">
        <is>
          <t>that was focused and driven by Islam.</t>
        </is>
      </c>
      <c r="D2628">
        <f>HYPERLINK("https://www.youtube.com/watch?v=hfznpykprP0&amp;t=899s", "Go to time")</f>
        <v/>
      </c>
    </row>
    <row r="2629">
      <c r="A2629">
        <f>HYPERLINK("https://www.youtube.com/watch?v=hfznpykprP0", "Video")</f>
        <v/>
      </c>
      <c r="B2629" t="inlineStr">
        <is>
          <t>15:59</t>
        </is>
      </c>
      <c r="C2629" t="inlineStr">
        <is>
          <t>who had driven the Mediterranean.</t>
        </is>
      </c>
      <c r="D2629">
        <f>HYPERLINK("https://www.youtube.com/watch?v=hfznpykprP0&amp;t=959s", "Go to time")</f>
        <v/>
      </c>
    </row>
    <row r="2630">
      <c r="A2630">
        <f>HYPERLINK("https://www.youtube.com/watch?v=RUYmYE7ZJ_E", "Video")</f>
        <v/>
      </c>
      <c r="B2630" t="inlineStr">
        <is>
          <t>0:48</t>
        </is>
      </c>
      <c r="C2630" t="inlineStr">
        <is>
          <t>drive on the wrong side of the road</t>
        </is>
      </c>
      <c r="D2630">
        <f>HYPERLINK("https://www.youtube.com/watch?v=RUYmYE7ZJ_E&amp;t=48s", "Go to time")</f>
        <v/>
      </c>
    </row>
    <row r="2631">
      <c r="A2631">
        <f>HYPERLINK("https://www.youtube.com/watch?v=RUYmYE7ZJ_E", "Video")</f>
        <v/>
      </c>
      <c r="B2631" t="inlineStr">
        <is>
          <t>3:25</t>
        </is>
      </c>
      <c r="C2631" t="inlineStr">
        <is>
          <t>The interventions that have yielded great
impact are driven by research findings</t>
        </is>
      </c>
      <c r="D2631">
        <f>HYPERLINK("https://www.youtube.com/watch?v=RUYmYE7ZJ_E&amp;t=205s", "Go to time")</f>
        <v/>
      </c>
    </row>
    <row r="2632">
      <c r="A2632">
        <f>HYPERLINK("https://www.youtube.com/watch?v=F5h6ynoq8uM", "Video")</f>
        <v/>
      </c>
      <c r="B2632" t="inlineStr">
        <is>
          <t>4:12</t>
        </is>
      </c>
      <c r="C2632" t="inlineStr">
        <is>
          <t>conflicts with what we do --
drive, fly, eat beef --</t>
        </is>
      </c>
      <c r="D2632">
        <f>HYPERLINK("https://www.youtube.com/watch?v=F5h6ynoq8uM&amp;t=252s", "Go to time")</f>
        <v/>
      </c>
    </row>
    <row r="2633">
      <c r="A2633">
        <f>HYPERLINK("https://www.youtube.com/watch?v=F5h6ynoq8uM", "Video")</f>
        <v/>
      </c>
      <c r="B2633" t="inlineStr">
        <is>
          <t>4:58</t>
        </is>
      </c>
      <c r="C2633" t="inlineStr">
        <is>
          <t>Thus, behavior drives attitudes.</t>
        </is>
      </c>
      <c r="D2633">
        <f>HYPERLINK("https://www.youtube.com/watch?v=F5h6ynoq8uM&amp;t=298s", "Go to time")</f>
        <v/>
      </c>
    </row>
    <row r="2634">
      <c r="A2634">
        <f>HYPERLINK("https://www.youtube.com/watch?v=HBbBs1ohZtI", "Video")</f>
        <v/>
      </c>
      <c r="B2634" t="inlineStr">
        <is>
          <t>7:21</t>
        </is>
      </c>
      <c r="C2634" t="inlineStr">
        <is>
          <t>truck drivers and computer scientists.</t>
        </is>
      </c>
      <c r="D2634">
        <f>HYPERLINK("https://www.youtube.com/watch?v=HBbBs1ohZtI&amp;t=441s", "Go to time")</f>
        <v/>
      </c>
    </row>
    <row r="2635">
      <c r="A2635">
        <f>HYPERLINK("https://www.youtube.com/watch?v=F2XPF6rQ6fs", "Video")</f>
        <v/>
      </c>
      <c r="B2635" t="inlineStr">
        <is>
          <t>9:00</t>
        </is>
      </c>
      <c r="C2635" t="inlineStr">
        <is>
          <t>And that next bridge I drive over</t>
        </is>
      </c>
      <c r="D2635">
        <f>HYPERLINK("https://www.youtube.com/watch?v=F2XPF6rQ6fs&amp;t=540s", "Go to time")</f>
        <v/>
      </c>
    </row>
    <row r="2636">
      <c r="A2636">
        <f>HYPERLINK("https://www.youtube.com/watch?v=MehKgIcoj6o", "Video")</f>
        <v/>
      </c>
      <c r="B2636" t="inlineStr">
        <is>
          <t>5:41</t>
        </is>
      </c>
      <c r="C2636" t="inlineStr">
        <is>
          <t>and an opportunity to drive
policy change and philanthropy.</t>
        </is>
      </c>
      <c r="D2636">
        <f>HYPERLINK("https://www.youtube.com/watch?v=MehKgIcoj6o&amp;t=341s", "Go to time")</f>
        <v/>
      </c>
    </row>
    <row r="2637">
      <c r="A2637">
        <f>HYPERLINK("https://www.youtube.com/watch?v=MMaWtHnyP04", "Video")</f>
        <v/>
      </c>
      <c r="B2637" t="inlineStr">
        <is>
          <t>0:24</t>
        </is>
      </c>
      <c r="C2637" t="inlineStr">
        <is>
          <t>waste has driven human progress.</t>
        </is>
      </c>
      <c r="D2637">
        <f>HYPERLINK("https://www.youtube.com/watch?v=MMaWtHnyP04&amp;t=24s", "Go to time")</f>
        <v/>
      </c>
    </row>
    <row r="2638">
      <c r="A2638">
        <f>HYPERLINK("https://www.youtube.com/watch?v=DUg9GvRHQk0", "Video")</f>
        <v/>
      </c>
      <c r="B2638" t="inlineStr">
        <is>
          <t>6:05</t>
        </is>
      </c>
      <c r="C2638" t="inlineStr">
        <is>
          <t>from identifying the drivers
of the disease,</t>
        </is>
      </c>
      <c r="D2638">
        <f>HYPERLINK("https://www.youtube.com/watch?v=DUg9GvRHQk0&amp;t=365s", "Go to time")</f>
        <v/>
      </c>
    </row>
    <row r="2639">
      <c r="A2639">
        <f>HYPERLINK("https://www.youtube.com/watch?v=DUg9GvRHQk0", "Video")</f>
        <v/>
      </c>
      <c r="B2639" t="inlineStr">
        <is>
          <t>11:44</t>
        </is>
      </c>
      <c r="C2639" t="inlineStr">
        <is>
          <t>for the processor speedups that have
driven innovation for nearly 70 years</t>
        </is>
      </c>
      <c r="D2639">
        <f>HYPERLINK("https://www.youtube.com/watch?v=DUg9GvRHQk0&amp;t=704s", "Go to time")</f>
        <v/>
      </c>
    </row>
    <row r="2640">
      <c r="A2640">
        <f>HYPERLINK("https://www.youtube.com/watch?v=-k-bg0q3NNw", "Video")</f>
        <v/>
      </c>
      <c r="B2640" t="inlineStr">
        <is>
          <t>6:18</t>
        </is>
      </c>
      <c r="C2640" t="inlineStr">
        <is>
          <t>See today we are driven by so many
what I call “spotlight metrics.”</t>
        </is>
      </c>
      <c r="D2640">
        <f>HYPERLINK("https://www.youtube.com/watch?v=-k-bg0q3NNw&amp;t=378s", "Go to time")</f>
        <v/>
      </c>
    </row>
    <row r="2641">
      <c r="A2641">
        <f>HYPERLINK("https://www.youtube.com/watch?v=-k-bg0q3NNw", "Video")</f>
        <v/>
      </c>
      <c r="B2641" t="inlineStr">
        <is>
          <t>6:30</t>
        </is>
      </c>
      <c r="C2641" t="inlineStr">
        <is>
          <t>or the car that we drive.</t>
        </is>
      </c>
      <c r="D2641">
        <f>HYPERLINK("https://www.youtube.com/watch?v=-k-bg0q3NNw&amp;t=390s", "Go to time")</f>
        <v/>
      </c>
    </row>
    <row r="2642">
      <c r="A2642">
        <f>HYPERLINK("https://www.youtube.com/watch?v=w7DohVZS5Yo", "Video")</f>
        <v/>
      </c>
      <c r="B2642" t="inlineStr">
        <is>
          <t>18:59</t>
        </is>
      </c>
      <c r="C2642" t="inlineStr">
        <is>
          <t>drivers that's it</t>
        </is>
      </c>
      <c r="D2642">
        <f>HYPERLINK("https://www.youtube.com/watch?v=w7DohVZS5Yo&amp;t=1139s", "Go to time")</f>
        <v/>
      </c>
    </row>
    <row r="2643">
      <c r="A2643">
        <f>HYPERLINK("https://www.youtube.com/watch?v=w7DohVZS5Yo", "Video")</f>
        <v/>
      </c>
      <c r="B2643" t="inlineStr">
        <is>
          <t>20:10</t>
        </is>
      </c>
      <c r="C2643" t="inlineStr">
        <is>
          <t>driver or as a factory worker and people</t>
        </is>
      </c>
      <c r="D2643">
        <f>HYPERLINK("https://www.youtube.com/watch?v=w7DohVZS5Yo&amp;t=1210s", "Go to time")</f>
        <v/>
      </c>
    </row>
    <row r="2644">
      <c r="A2644">
        <f>HYPERLINK("https://www.youtube.com/watch?v=w7DohVZS5Yo", "Video")</f>
        <v/>
      </c>
      <c r="B2644" t="inlineStr">
        <is>
          <t>25:17</t>
        </is>
      </c>
      <c r="C2644" t="inlineStr">
        <is>
          <t>textile workers and truck drivers and</t>
        </is>
      </c>
      <c r="D2644">
        <f>HYPERLINK("https://www.youtube.com/watch?v=w7DohVZS5Yo&amp;t=1517s", "Go to time")</f>
        <v/>
      </c>
    </row>
    <row r="2645">
      <c r="A2645">
        <f>HYPERLINK("https://www.youtube.com/watch?v=MMzNxiB7NRc", "Video")</f>
        <v/>
      </c>
      <c r="B2645" t="inlineStr">
        <is>
          <t>2:22</t>
        </is>
      </c>
      <c r="C2645" t="inlineStr">
        <is>
          <t>And one of the big drivers
of that café culture</t>
        </is>
      </c>
      <c r="D2645">
        <f>HYPERLINK("https://www.youtube.com/watch?v=MMzNxiB7NRc&amp;t=142s", "Go to time")</f>
        <v/>
      </c>
    </row>
    <row r="2646">
      <c r="A2646">
        <f>HYPERLINK("https://www.youtube.com/watch?v=Depn_GsxSqo", "Video")</f>
        <v/>
      </c>
      <c r="B2646" t="inlineStr">
        <is>
          <t>0:14</t>
        </is>
      </c>
      <c r="C2646" t="inlineStr">
        <is>
          <t>I drive from my home near Tijuana, Mexico,</t>
        </is>
      </c>
      <c r="D2646">
        <f>HYPERLINK("https://www.youtube.com/watch?v=Depn_GsxSqo&amp;t=14s", "Go to time")</f>
        <v/>
      </c>
    </row>
    <row r="2647">
      <c r="A2647">
        <f>HYPERLINK("https://www.youtube.com/watch?v=Ie9cACQnqew", "Video")</f>
        <v/>
      </c>
      <c r="B2647" t="inlineStr">
        <is>
          <t>1:37</t>
        </is>
      </c>
      <c r="C2647" t="inlineStr">
        <is>
          <t>the number one driver for global warming.</t>
        </is>
      </c>
      <c r="D2647">
        <f>HYPERLINK("https://www.youtube.com/watch?v=Ie9cACQnqew&amp;t=97s", "Go to time")</f>
        <v/>
      </c>
    </row>
    <row r="2648">
      <c r="A2648">
        <f>HYPERLINK("https://www.youtube.com/watch?v=qWwEoD68gwQ", "Video")</f>
        <v/>
      </c>
      <c r="B2648" t="inlineStr">
        <is>
          <t>39:11</t>
        </is>
      </c>
      <c r="C2648" t="inlineStr">
        <is>
          <t>to drive by not get out of your car and</t>
        </is>
      </c>
      <c r="D2648">
        <f>HYPERLINK("https://www.youtube.com/watch?v=qWwEoD68gwQ&amp;t=2351s", "Go to time")</f>
        <v/>
      </c>
    </row>
    <row r="2649">
      <c r="A2649">
        <f>HYPERLINK("https://www.youtube.com/watch?v=-RkhAP0_ms4", "Video")</f>
        <v/>
      </c>
      <c r="B2649" t="inlineStr">
        <is>
          <t>0:41</t>
        </is>
      </c>
      <c r="C2649" t="inlineStr">
        <is>
          <t>And in our now exponential,
connected, data-driven age,</t>
        </is>
      </c>
      <c r="D2649">
        <f>HYPERLINK("https://www.youtube.com/watch?v=-RkhAP0_ms4&amp;t=41s", "Go to time")</f>
        <v/>
      </c>
    </row>
    <row r="2650">
      <c r="A2650">
        <f>HYPERLINK("https://www.youtube.com/watch?v=58rMMTJUp_U", "Video")</f>
        <v/>
      </c>
      <c r="B2650" t="inlineStr">
        <is>
          <t>3:52</t>
        </is>
      </c>
      <c r="C2650" t="inlineStr">
        <is>
          <t>that drive those changes are similar.</t>
        </is>
      </c>
      <c r="D2650">
        <f>HYPERLINK("https://www.youtube.com/watch?v=58rMMTJUp_U&amp;t=232s", "Go to time")</f>
        <v/>
      </c>
    </row>
    <row r="2651">
      <c r="A2651">
        <f>HYPERLINK("https://www.youtube.com/watch?v=q-GXV4Fd1oA", "Video")</f>
        <v/>
      </c>
      <c r="B2651" t="inlineStr">
        <is>
          <t>0:19</t>
        </is>
      </c>
      <c r="C2651" t="inlineStr">
        <is>
          <t>For a while, I thought of machines
and the technologies that drive them</t>
        </is>
      </c>
      <c r="D2651">
        <f>HYPERLINK("https://www.youtube.com/watch?v=q-GXV4Fd1oA&amp;t=19s", "Go to time")</f>
        <v/>
      </c>
    </row>
    <row r="2652">
      <c r="A2652">
        <f>HYPERLINK("https://www.youtube.com/watch?v=MB5IX-np5fE", "Video")</f>
        <v/>
      </c>
      <c r="B2652" t="inlineStr">
        <is>
          <t>14:58</t>
        </is>
      </c>
      <c r="C2652" t="inlineStr">
        <is>
          <t>as a society, we have become
much more driven by these beliefs.</t>
        </is>
      </c>
      <c r="D2652">
        <f>HYPERLINK("https://www.youtube.com/watch?v=MB5IX-np5fE&amp;t=898s", "Go to time")</f>
        <v/>
      </c>
    </row>
    <row r="2653">
      <c r="A2653">
        <f>HYPERLINK("https://www.youtube.com/watch?v=2y6GQcN9jVs", "Video")</f>
        <v/>
      </c>
      <c r="B2653" t="inlineStr">
        <is>
          <t>3:01</t>
        </is>
      </c>
      <c r="C2653" t="inlineStr">
        <is>
          <t>and methane is a very big driver
of climate change,</t>
        </is>
      </c>
      <c r="D2653">
        <f>HYPERLINK("https://www.youtube.com/watch?v=2y6GQcN9jVs&amp;t=181s", "Go to time")</f>
        <v/>
      </c>
    </row>
    <row r="2654">
      <c r="A2654">
        <f>HYPERLINK("https://www.youtube.com/watch?v=qcmNFKr-Qyk", "Video")</f>
        <v/>
      </c>
      <c r="B2654" t="inlineStr">
        <is>
          <t>6:10</t>
        </is>
      </c>
      <c r="C2654" t="inlineStr">
        <is>
          <t>and allow that to drive
our decision making,</t>
        </is>
      </c>
      <c r="D2654">
        <f>HYPERLINK("https://www.youtube.com/watch?v=qcmNFKr-Qyk&amp;t=370s", "Go to time")</f>
        <v/>
      </c>
    </row>
    <row r="2655">
      <c r="A2655">
        <f>HYPERLINK("https://www.youtube.com/watch?v=7kkRkhAXZGg", "Video")</f>
        <v/>
      </c>
      <c r="B2655" t="inlineStr">
        <is>
          <t>5:45</t>
        </is>
      </c>
      <c r="C2655" t="inlineStr">
        <is>
          <t>and it turns out that there are
two drivers to inequality on-screen:</t>
        </is>
      </c>
      <c r="D2655">
        <f>HYPERLINK("https://www.youtube.com/watch?v=7kkRkhAXZGg&amp;t=345s", "Go to time")</f>
        <v/>
      </c>
    </row>
    <row r="2656">
      <c r="A2656">
        <f>HYPERLINK("https://www.youtube.com/watch?v=VmLMMNhxZMU", "Video")</f>
        <v/>
      </c>
      <c r="B2656" t="inlineStr">
        <is>
          <t>0:32</t>
        </is>
      </c>
      <c r="C2656" t="inlineStr">
        <is>
          <t>and my client happened to be
Osama bin Laden's driver.</t>
        </is>
      </c>
      <c r="D2656">
        <f>HYPERLINK("https://www.youtube.com/watch?v=VmLMMNhxZMU&amp;t=32s", "Go to time")</f>
        <v/>
      </c>
    </row>
    <row r="2657">
      <c r="A2657">
        <f>HYPERLINK("https://www.youtube.com/watch?v=VmLMMNhxZMU", "Video")</f>
        <v/>
      </c>
      <c r="B2657" t="inlineStr">
        <is>
          <t>5:41</t>
        </is>
      </c>
      <c r="C2657" t="inlineStr">
        <is>
          <t>this guy, who was accused
of being bin Laden's driver,</t>
        </is>
      </c>
      <c r="D2657">
        <f>HYPERLINK("https://www.youtube.com/watch?v=VmLMMNhxZMU&amp;t=341s", "Go to time")</f>
        <v/>
      </c>
    </row>
    <row r="2658">
      <c r="A2658">
        <f>HYPERLINK("https://www.youtube.com/watch?v=VmLMMNhxZMU", "Video")</f>
        <v/>
      </c>
      <c r="B2658" t="inlineStr">
        <is>
          <t>6:08</t>
        </is>
      </c>
      <c r="C2658" t="inlineStr">
        <is>
          <t>this driver would have been shot,</t>
        </is>
      </c>
      <c r="D2658">
        <f>HYPERLINK("https://www.youtube.com/watch?v=VmLMMNhxZMU&amp;t=368s", "Go to time")</f>
        <v/>
      </c>
    </row>
    <row r="2659">
      <c r="A2659">
        <f>HYPERLINK("https://www.youtube.com/watch?v=VmLMMNhxZMU", "Video")</f>
        <v/>
      </c>
      <c r="B2659" t="inlineStr">
        <is>
          <t>13:40</t>
        </is>
      </c>
      <c r="C2659" t="inlineStr">
        <is>
          <t>like Osama bin Laden's driver,</t>
        </is>
      </c>
      <c r="D2659">
        <f>HYPERLINK("https://www.youtube.com/watch?v=VmLMMNhxZMU&amp;t=820s", "Go to time")</f>
        <v/>
      </c>
    </row>
    <row r="2660">
      <c r="A2660">
        <f>HYPERLINK("https://www.youtube.com/watch?v=dr1-fPkTxZM", "Video")</f>
        <v/>
      </c>
      <c r="B2660" t="inlineStr">
        <is>
          <t>0:26</t>
        </is>
      </c>
      <c r="C2660" t="inlineStr">
        <is>
          <t>we’re driven toward
achievement and action and creation.</t>
        </is>
      </c>
      <c r="D2660">
        <f>HYPERLINK("https://www.youtube.com/watch?v=dr1-fPkTxZM&amp;t=26s", "Go to time")</f>
        <v/>
      </c>
    </row>
    <row r="2661">
      <c r="A2661">
        <f>HYPERLINK("https://www.youtube.com/watch?v=H03o2WCBoDU", "Video")</f>
        <v/>
      </c>
      <c r="B2661" t="inlineStr">
        <is>
          <t>11:02</t>
        </is>
      </c>
      <c r="C2661" t="inlineStr">
        <is>
          <t>does it make sense for us
to drive up prices</t>
        </is>
      </c>
      <c r="D2661">
        <f>HYPERLINK("https://www.youtube.com/watch?v=H03o2WCBoDU&amp;t=662s", "Go to time")</f>
        <v/>
      </c>
    </row>
    <row r="2662">
      <c r="A2662">
        <f>HYPERLINK("https://www.youtube.com/watch?v=AX4ewS-YIbA", "Video")</f>
        <v/>
      </c>
      <c r="B2662" t="inlineStr">
        <is>
          <t>2:38</t>
        </is>
      </c>
      <c r="C2662" t="inlineStr">
        <is>
          <t>It smells of soil and hard drives</t>
        </is>
      </c>
      <c r="D2662">
        <f>HYPERLINK("https://www.youtube.com/watch?v=AX4ewS-YIbA&amp;t=158s", "Go to time")</f>
        <v/>
      </c>
    </row>
    <row r="2663">
      <c r="A2663">
        <f>HYPERLINK("https://www.youtube.com/watch?v=YddEiDSuOrY", "Video")</f>
        <v/>
      </c>
      <c r="B2663" t="inlineStr">
        <is>
          <t>2:29</t>
        </is>
      </c>
      <c r="C2663" t="inlineStr">
        <is>
          <t>to generate the heat that is required
to drive processes inside of our old</t>
        </is>
      </c>
      <c r="D2663">
        <f>HYPERLINK("https://www.youtube.com/watch?v=YddEiDSuOrY&amp;t=149s", "Go to time")</f>
        <v/>
      </c>
    </row>
    <row r="2664">
      <c r="A2664">
        <f>HYPERLINK("https://www.youtube.com/watch?v=YddEiDSuOrY", "Video")</f>
        <v/>
      </c>
      <c r="B2664" t="inlineStr">
        <is>
          <t>2:42</t>
        </is>
      </c>
      <c r="C2664" t="inlineStr">
        <is>
          <t>to drive the processes
inside of these plants.</t>
        </is>
      </c>
      <c r="D2664">
        <f>HYPERLINK("https://www.youtube.com/watch?v=YddEiDSuOrY&amp;t=162s", "Go to time")</f>
        <v/>
      </c>
    </row>
    <row r="2665">
      <c r="A2665">
        <f>HYPERLINK("https://www.youtube.com/watch?v=B905LapVP7I", "Video")</f>
        <v/>
      </c>
      <c r="B2665" t="inlineStr">
        <is>
          <t>0:28</t>
        </is>
      </c>
      <c r="C2665" t="inlineStr">
        <is>
          <t>But did you know that "driver"
is actually the most common job</t>
        </is>
      </c>
      <c r="D2665">
        <f>HYPERLINK("https://www.youtube.com/watch?v=B905LapVP7I&amp;t=28s", "Go to time")</f>
        <v/>
      </c>
    </row>
    <row r="2666">
      <c r="A2666">
        <f>HYPERLINK("https://www.youtube.com/watch?v=B905LapVP7I", "Video")</f>
        <v/>
      </c>
      <c r="B2666" t="inlineStr">
        <is>
          <t>3:48</t>
        </is>
      </c>
      <c r="C2666" t="inlineStr">
        <is>
          <t>like cashier, loan processor
or taxi driver</t>
        </is>
      </c>
      <c r="D2666">
        <f>HYPERLINK("https://www.youtube.com/watch?v=B905LapVP7I&amp;t=228s", "Go to time")</f>
        <v/>
      </c>
    </row>
    <row r="2667">
      <c r="A2667">
        <f>HYPERLINK("https://www.youtube.com/watch?v=O13KwsyDqeE", "Video")</f>
        <v/>
      </c>
      <c r="B2667" t="inlineStr">
        <is>
          <t>13:19</t>
        </is>
      </c>
      <c r="C2667" t="inlineStr">
        <is>
          <t>This is a community-driven stigma</t>
        </is>
      </c>
      <c r="D2667">
        <f>HYPERLINK("https://www.youtube.com/watch?v=O13KwsyDqeE&amp;t=799s", "Go to time")</f>
        <v/>
      </c>
    </row>
    <row r="2668">
      <c r="A2668">
        <f>HYPERLINK("https://www.youtube.com/watch?v=MJd6Y50hfAM", "Video")</f>
        <v/>
      </c>
      <c r="B2668" t="inlineStr">
        <is>
          <t>0:40</t>
        </is>
      </c>
      <c r="C2668" t="inlineStr">
        <is>
          <t>But the thing that drives me the most
in this life is to write pop songs.</t>
        </is>
      </c>
      <c r="D2668">
        <f>HYPERLINK("https://www.youtube.com/watch?v=MJd6Y50hfAM&amp;t=40s", "Go to time")</f>
        <v/>
      </c>
    </row>
    <row r="2669">
      <c r="A2669">
        <f>HYPERLINK("https://www.youtube.com/watch?v=xQZxGCPjpqM", "Video")</f>
        <v/>
      </c>
      <c r="B2669" t="inlineStr">
        <is>
          <t>7:54</t>
        </is>
      </c>
      <c r="C2669" t="inlineStr">
        <is>
          <t>the biggest driver of cost
is the power required</t>
        </is>
      </c>
      <c r="D2669">
        <f>HYPERLINK("https://www.youtube.com/watch?v=xQZxGCPjpqM&amp;t=474s", "Go to time")</f>
        <v/>
      </c>
    </row>
    <row r="2670">
      <c r="A2670">
        <f>HYPERLINK("https://www.youtube.com/watch?v=xQZxGCPjpqM", "Video")</f>
        <v/>
      </c>
      <c r="B2670" t="inlineStr">
        <is>
          <t>10:52</t>
        </is>
      </c>
      <c r="C2670" t="inlineStr">
        <is>
          <t>hyperdriven, hyperpassionate young people</t>
        </is>
      </c>
      <c r="D2670">
        <f>HYPERLINK("https://www.youtube.com/watch?v=xQZxGCPjpqM&amp;t=652s", "Go to time")</f>
        <v/>
      </c>
    </row>
    <row r="2671">
      <c r="A2671">
        <f>HYPERLINK("https://www.youtube.com/watch?v=1GRt0j698T4", "Video")</f>
        <v/>
      </c>
      <c r="B2671" t="inlineStr">
        <is>
          <t>0:21</t>
        </is>
      </c>
      <c r="C2671" t="inlineStr">
        <is>
          <t>It was driven by a new vision
and way of funding</t>
        </is>
      </c>
      <c r="D2671">
        <f>HYPERLINK("https://www.youtube.com/watch?v=1GRt0j698T4&amp;t=21s", "Go to time")</f>
        <v/>
      </c>
    </row>
    <row r="2672">
      <c r="A2672">
        <f>HYPERLINK("https://www.youtube.com/watch?v=is3F6ZtcSso", "Video")</f>
        <v/>
      </c>
      <c r="B2672" t="inlineStr">
        <is>
          <t>0:17</t>
        </is>
      </c>
      <c r="C2672" t="inlineStr">
        <is>
          <t>I went to get my driver's permit.</t>
        </is>
      </c>
      <c r="D2672">
        <f>HYPERLINK("https://www.youtube.com/watch?v=is3F6ZtcSso&amp;t=17s", "Go to time")</f>
        <v/>
      </c>
    </row>
    <row r="2673">
      <c r="A2673">
        <f>HYPERLINK("https://www.youtube.com/watch?v=6pSoGKc-U7w", "Video")</f>
        <v/>
      </c>
      <c r="B2673" t="inlineStr">
        <is>
          <t>9:05</t>
        </is>
      </c>
      <c r="C2673" t="inlineStr">
        <is>
          <t>not a mission-driven expert.</t>
        </is>
      </c>
      <c r="D2673">
        <f>HYPERLINK("https://www.youtube.com/watch?v=6pSoGKc-U7w&amp;t=545s", "Go to time")</f>
        <v/>
      </c>
    </row>
    <row r="2674">
      <c r="A2674">
        <f>HYPERLINK("https://www.youtube.com/watch?v=6pSoGKc-U7w", "Video")</f>
        <v/>
      </c>
      <c r="B2674" t="inlineStr">
        <is>
          <t>9:58</t>
        </is>
      </c>
      <c r="C2674" t="inlineStr">
        <is>
          <t>that are evidence-based
and metrics-driven.</t>
        </is>
      </c>
      <c r="D2674">
        <f>HYPERLINK("https://www.youtube.com/watch?v=6pSoGKc-U7w&amp;t=598s", "Go to time")</f>
        <v/>
      </c>
    </row>
    <row r="2675">
      <c r="A2675">
        <f>HYPERLINK("https://www.youtube.com/watch?v=bTsRTZ9hflk", "Video")</f>
        <v/>
      </c>
      <c r="B2675" t="inlineStr">
        <is>
          <t>5:42</t>
        </is>
      </c>
      <c r="C2675" t="inlineStr">
        <is>
          <t>It's the "what if"
that drives human exploration.</t>
        </is>
      </c>
      <c r="D2675">
        <f>HYPERLINK("https://www.youtube.com/watch?v=bTsRTZ9hflk&amp;t=342s", "Go to time")</f>
        <v/>
      </c>
    </row>
    <row r="2676">
      <c r="A2676">
        <f>HYPERLINK("https://www.youtube.com/watch?v=JI-HzvXk5bk", "Video")</f>
        <v/>
      </c>
      <c r="B2676" t="inlineStr">
        <is>
          <t>4:25</t>
        </is>
      </c>
      <c r="C2676" t="inlineStr">
        <is>
          <t>and that was a driver of stability.</t>
        </is>
      </c>
      <c r="D2676">
        <f>HYPERLINK("https://www.youtube.com/watch?v=JI-HzvXk5bk&amp;t=265s", "Go to time")</f>
        <v/>
      </c>
    </row>
    <row r="2677">
      <c r="A2677">
        <f>HYPERLINK("https://www.youtube.com/watch?v=27WucvXpbd4", "Video")</f>
        <v/>
      </c>
      <c r="B2677" t="inlineStr">
        <is>
          <t>9:29</t>
        </is>
      </c>
      <c r="C2677" t="inlineStr">
        <is>
          <t>cities are driven by whether it's the</t>
        </is>
      </c>
      <c r="D2677">
        <f>HYPERLINK("https://www.youtube.com/watch?v=27WucvXpbd4&amp;t=569s", "Go to time")</f>
        <v/>
      </c>
    </row>
    <row r="2678">
      <c r="A2678">
        <f>HYPERLINK("https://www.youtube.com/watch?v=0BF2Np5J6jY", "Video")</f>
        <v/>
      </c>
      <c r="B2678" t="inlineStr">
        <is>
          <t>1:58</t>
        </is>
      </c>
      <c r="C2678" t="inlineStr">
        <is>
          <t>Our mission is to help
drive the transition</t>
        </is>
      </c>
      <c r="D2678">
        <f>HYPERLINK("https://www.youtube.com/watch?v=0BF2Np5J6jY&amp;t=118s", "Go to time")</f>
        <v/>
      </c>
    </row>
    <row r="2679">
      <c r="A2679">
        <f>HYPERLINK("https://www.youtube.com/watch?v=0BF2Np5J6jY", "Video")</f>
        <v/>
      </c>
      <c r="B2679" t="inlineStr">
        <is>
          <t>3:23</t>
        </is>
      </c>
      <c r="C2679" t="inlineStr">
        <is>
          <t>And our job is to drive the transformation
in every global system,</t>
        </is>
      </c>
      <c r="D2679">
        <f>HYPERLINK("https://www.youtube.com/watch?v=0BF2Np5J6jY&amp;t=203s", "Go to time")</f>
        <v/>
      </c>
    </row>
    <row r="2680">
      <c r="A2680">
        <f>HYPERLINK("https://www.youtube.com/watch?v=0BF2Np5J6jY", "Video")</f>
        <v/>
      </c>
      <c r="B2680" t="inlineStr">
        <is>
          <t>4:23</t>
        </is>
      </c>
      <c r="C2680" t="inlineStr">
        <is>
          <t>to drive towards zero carbon,</t>
        </is>
      </c>
      <c r="D2680">
        <f>HYPERLINK("https://www.youtube.com/watch?v=0BF2Np5J6jY&amp;t=263s", "Go to time")</f>
        <v/>
      </c>
    </row>
    <row r="2681">
      <c r="A2681">
        <f>HYPERLINK("https://www.youtube.com/watch?v=0BF2Np5J6jY", "Video")</f>
        <v/>
      </c>
      <c r="B2681" t="inlineStr">
        <is>
          <t>4:31</t>
        </is>
      </c>
      <c r="C2681" t="inlineStr">
        <is>
          <t>is an opportunity to drive
an ambition loop</t>
        </is>
      </c>
      <c r="D2681">
        <f>HYPERLINK("https://www.youtube.com/watch?v=0BF2Np5J6jY&amp;t=271s", "Go to time")</f>
        <v/>
      </c>
    </row>
    <row r="2682">
      <c r="A2682">
        <f>HYPERLINK("https://www.youtube.com/watch?v=0BF2Np5J6jY", "Video")</f>
        <v/>
      </c>
      <c r="B2682" t="inlineStr">
        <is>
          <t>6:19</t>
        </is>
      </c>
      <c r="C2682" t="inlineStr">
        <is>
          <t>we can drive the race to zero emissions.</t>
        </is>
      </c>
      <c r="D2682">
        <f>HYPERLINK("https://www.youtube.com/watch?v=0BF2Np5J6jY&amp;t=379s", "Go to time")</f>
        <v/>
      </c>
    </row>
    <row r="2683">
      <c r="A2683">
        <f>HYPERLINK("https://www.youtube.com/watch?v=0BF2Np5J6jY", "Video")</f>
        <v/>
      </c>
      <c r="B2683" t="inlineStr">
        <is>
          <t>7:16</t>
        </is>
      </c>
      <c r="C2683" t="inlineStr">
        <is>
          <t>and it will drive the learning
which drives down the cost,</t>
        </is>
      </c>
      <c r="D2683">
        <f>HYPERLINK("https://www.youtube.com/watch?v=0BF2Np5J6jY&amp;t=436s", "Go to time")</f>
        <v/>
      </c>
    </row>
    <row r="2684">
      <c r="A2684">
        <f>HYPERLINK("https://www.youtube.com/watch?v=0BF2Np5J6jY", "Video")</f>
        <v/>
      </c>
      <c r="B2684" t="inlineStr">
        <is>
          <t>8:21</t>
        </is>
      </c>
      <c r="C2684" t="inlineStr">
        <is>
          <t>to drive the cost of green hydrogen down
to below two dollars a kilogram</t>
        </is>
      </c>
      <c r="D2684">
        <f>HYPERLINK("https://www.youtube.com/watch?v=0BF2Np5J6jY&amp;t=501s", "Go to time")</f>
        <v/>
      </c>
    </row>
    <row r="2685">
      <c r="A2685">
        <f>HYPERLINK("https://www.youtube.com/watch?v=PgCmT0qkfQM", "Video")</f>
        <v/>
      </c>
      <c r="B2685" t="inlineStr">
        <is>
          <t>2:15</t>
        </is>
      </c>
      <c r="C2685" t="inlineStr">
        <is>
          <t>girls driven from their school
in northeast Nigeria by Boko Haram.</t>
        </is>
      </c>
      <c r="D2685">
        <f>HYPERLINK("https://www.youtube.com/watch?v=PgCmT0qkfQM&amp;t=135s", "Go to time")</f>
        <v/>
      </c>
    </row>
    <row r="2686">
      <c r="A2686">
        <f>HYPERLINK("https://www.youtube.com/watch?v=HYnZy2Cx7UM", "Video")</f>
        <v/>
      </c>
      <c r="B2686" t="inlineStr">
        <is>
          <t>8:55</t>
        </is>
      </c>
      <c r="C2686" t="inlineStr">
        <is>
          <t>And now we can ask why scientists think
that testosterone drives any of this.</t>
        </is>
      </c>
      <c r="D2686">
        <f>HYPERLINK("https://www.youtube.com/watch?v=HYnZy2Cx7UM&amp;t=535s", "Go to time")</f>
        <v/>
      </c>
    </row>
    <row r="2687">
      <c r="A2687">
        <f>HYPERLINK("https://www.youtube.com/watch?v=GRfudKFLAmI", "Video")</f>
        <v/>
      </c>
      <c r="B2687" t="inlineStr">
        <is>
          <t>0:33</t>
        </is>
      </c>
      <c r="C2687" t="inlineStr">
        <is>
          <t>It's driven by force of necessity.</t>
        </is>
      </c>
      <c r="D2687">
        <f>HYPERLINK("https://www.youtube.com/watch?v=GRfudKFLAmI&amp;t=33s", "Go to time")</f>
        <v/>
      </c>
    </row>
    <row r="2688">
      <c r="A2688">
        <f>HYPERLINK("https://www.youtube.com/watch?v=8jPQjjsBbIc", "Video")</f>
        <v/>
      </c>
      <c r="B2688" t="inlineStr">
        <is>
          <t>0:16</t>
        </is>
      </c>
      <c r="C2688" t="inlineStr">
        <is>
          <t>I had just driven home,</t>
        </is>
      </c>
      <c r="D2688">
        <f>HYPERLINK("https://www.youtube.com/watch?v=8jPQjjsBbIc&amp;t=16s", "Go to time")</f>
        <v/>
      </c>
    </row>
    <row r="2689">
      <c r="A2689">
        <f>HYPERLINK("https://www.youtube.com/watch?v=8jPQjjsBbIc", "Video")</f>
        <v/>
      </c>
      <c r="B2689" t="inlineStr">
        <is>
          <t>4:34</t>
        </is>
      </c>
      <c r="C2689" t="inlineStr">
        <is>
          <t>that in London taxicab drivers
becomes enlarged.</t>
        </is>
      </c>
      <c r="D2689">
        <f>HYPERLINK("https://www.youtube.com/watch?v=8jPQjjsBbIc&amp;t=274s", "Go to time")</f>
        <v/>
      </c>
    </row>
    <row r="2690">
      <c r="A2690">
        <f>HYPERLINK("https://www.youtube.com/watch?v=8jPQjjsBbIc", "Video")</f>
        <v/>
      </c>
      <c r="B2690" t="inlineStr">
        <is>
          <t>5:28</t>
        </is>
      </c>
      <c r="C2690" t="inlineStr">
        <is>
          <t>your driver's license, your passport,</t>
        </is>
      </c>
      <c r="D2690">
        <f>HYPERLINK("https://www.youtube.com/watch?v=8jPQjjsBbIc&amp;t=328s", "Go to time")</f>
        <v/>
      </c>
    </row>
    <row r="2691">
      <c r="A2691">
        <f>HYPERLINK("https://www.youtube.com/watch?v=8sheoGMsy3Q", "Video")</f>
        <v/>
      </c>
      <c r="B2691" t="inlineStr">
        <is>
          <t>6:34</t>
        </is>
      </c>
      <c r="C2691" t="inlineStr">
        <is>
          <t>but also back-drive them as well.</t>
        </is>
      </c>
      <c r="D2691">
        <f>HYPERLINK("https://www.youtube.com/watch?v=8sheoGMsy3Q&amp;t=394s", "Go to time")</f>
        <v/>
      </c>
    </row>
    <row r="2692">
      <c r="A2692">
        <f>HYPERLINK("https://www.youtube.com/watch?v=UDvw9vWSgt4", "Video")</f>
        <v/>
      </c>
      <c r="B2692" t="inlineStr">
        <is>
          <t>11:56</t>
        </is>
      </c>
      <c r="C2692" t="inlineStr">
        <is>
          <t>But what drives me to show up
today and every day</t>
        </is>
      </c>
      <c r="D2692">
        <f>HYPERLINK("https://www.youtube.com/watch?v=UDvw9vWSgt4&amp;t=716s", "Go to time")</f>
        <v/>
      </c>
    </row>
    <row r="2693">
      <c r="A2693">
        <f>HYPERLINK("https://www.youtube.com/watch?v=Irx0tC92fdE", "Video")</f>
        <v/>
      </c>
      <c r="B2693" t="inlineStr">
        <is>
          <t>2:12</t>
        </is>
      </c>
      <c r="C2693" t="inlineStr">
        <is>
          <t>I often drive from Boston to Cape Cod.</t>
        </is>
      </c>
      <c r="D2693">
        <f>HYPERLINK("https://www.youtube.com/watch?v=Irx0tC92fdE&amp;t=132s", "Go to time")</f>
        <v/>
      </c>
    </row>
    <row r="2694">
      <c r="A2694">
        <f>HYPERLINK("https://www.youtube.com/watch?v=Irx0tC92fdE", "Video")</f>
        <v/>
      </c>
      <c r="B2694" t="inlineStr">
        <is>
          <t>2:51</t>
        </is>
      </c>
      <c r="C2694" t="inlineStr">
        <is>
          <t>So because I've driven
over that bridge countless times</t>
        </is>
      </c>
      <c r="D2694">
        <f>HYPERLINK("https://www.youtube.com/watch?v=Irx0tC92fdE&amp;t=171s", "Go to time")</f>
        <v/>
      </c>
    </row>
    <row r="2695">
      <c r="A2695">
        <f>HYPERLINK("https://www.youtube.com/watch?v=Irx0tC92fdE", "Video")</f>
        <v/>
      </c>
      <c r="B2695" t="inlineStr">
        <is>
          <t>13:30</t>
        </is>
      </c>
      <c r="C2695" t="inlineStr">
        <is>
          <t>For Greg, who has Alzheimer's,
it's he drives somewhere,</t>
        </is>
      </c>
      <c r="D2695">
        <f>HYPERLINK("https://www.youtube.com/watch?v=Irx0tC92fdE&amp;t=810s", "Go to time")</f>
        <v/>
      </c>
    </row>
    <row r="2696">
      <c r="A2696">
        <f>HYPERLINK("https://www.youtube.com/watch?v=Irx0tC92fdE", "Video")</f>
        <v/>
      </c>
      <c r="B2696" t="inlineStr">
        <is>
          <t>13:33</t>
        </is>
      </c>
      <c r="C2696" t="inlineStr">
        <is>
          <t>back when he used to drive,</t>
        </is>
      </c>
      <c r="D2696">
        <f>HYPERLINK("https://www.youtube.com/watch?v=Irx0tC92fdE&amp;t=813s", "Go to time")</f>
        <v/>
      </c>
    </row>
    <row r="2697">
      <c r="A2697">
        <f>HYPERLINK("https://www.youtube.com/watch?v=Irx0tC92fdE", "Video")</f>
        <v/>
      </c>
      <c r="B2697" t="inlineStr">
        <is>
          <t>21:30</t>
        </is>
      </c>
      <c r="C2697" t="inlineStr">
        <is>
          <t>Go back to your neighborhood
and drive around and,</t>
        </is>
      </c>
      <c r="D2697">
        <f>HYPERLINK("https://www.youtube.com/watch?v=Irx0tC92fdE&amp;t=1290s", "Go to time")</f>
        <v/>
      </c>
    </row>
    <row r="2698">
      <c r="A2698">
        <f>HYPERLINK("https://www.youtube.com/watch?v=oITW0XsZd3o", "Video")</f>
        <v/>
      </c>
      <c r="B2698" t="inlineStr">
        <is>
          <t>0:46</t>
        </is>
      </c>
      <c r="C2698" t="inlineStr">
        <is>
          <t>it will help you be safe
around that driver,</t>
        </is>
      </c>
      <c r="D2698">
        <f>HYPERLINK("https://www.youtube.com/watch?v=oITW0XsZd3o&amp;t=46s", "Go to time")</f>
        <v/>
      </c>
    </row>
    <row r="2699">
      <c r="A2699">
        <f>HYPERLINK("https://www.youtube.com/watch?v=oITW0XsZd3o", "Video")</f>
        <v/>
      </c>
      <c r="B2699" t="inlineStr">
        <is>
          <t>1:36</t>
        </is>
      </c>
      <c r="C2699" t="inlineStr">
        <is>
          <t>So if it's, you know, a lovely Sunday
morning and you're taking a drive</t>
        </is>
      </c>
      <c r="D2699">
        <f>HYPERLINK("https://www.youtube.com/watch?v=oITW0XsZd3o&amp;t=96s", "Go to time")</f>
        <v/>
      </c>
    </row>
    <row r="2700">
      <c r="A2700">
        <f>HYPERLINK("https://www.youtube.com/watch?v=oITW0XsZd3o", "Video")</f>
        <v/>
      </c>
      <c r="B2700" t="inlineStr">
        <is>
          <t>6:15</t>
        </is>
      </c>
      <c r="C2700" t="inlineStr">
        <is>
          <t>like, "go into overdrive,"</t>
        </is>
      </c>
      <c r="D2700">
        <f>HYPERLINK("https://www.youtube.com/watch?v=oITW0XsZd3o&amp;t=375s", "Go to time")</f>
        <v/>
      </c>
    </row>
    <row r="2701">
      <c r="A2701">
        <f>HYPERLINK("https://www.youtube.com/watch?v=oITW0XsZd3o", "Video")</f>
        <v/>
      </c>
      <c r="B2701" t="inlineStr">
        <is>
          <t>8:40</t>
        </is>
      </c>
      <c r="C2701" t="inlineStr">
        <is>
          <t>really does put you in the driver's seat</t>
        </is>
      </c>
      <c r="D2701">
        <f>HYPERLINK("https://www.youtube.com/watch?v=oITW0XsZd3o&amp;t=520s", "Go to time")</f>
        <v/>
      </c>
    </row>
    <row r="2702">
      <c r="A2702">
        <f>HYPERLINK("https://www.youtube.com/watch?v=oITW0XsZd3o", "Video")</f>
        <v/>
      </c>
      <c r="B2702" t="inlineStr">
        <is>
          <t>12:48</t>
        </is>
      </c>
      <c r="C2702" t="inlineStr">
        <is>
          <t>You can be in the driver's seat on this</t>
        </is>
      </c>
      <c r="D2702">
        <f>HYPERLINK("https://www.youtube.com/watch?v=oITW0XsZd3o&amp;t=768s", "Go to time")</f>
        <v/>
      </c>
    </row>
    <row r="2703">
      <c r="A2703">
        <f>HYPERLINK("https://www.youtube.com/watch?v=oITW0XsZd3o", "Video")</f>
        <v/>
      </c>
      <c r="B2703" t="inlineStr">
        <is>
          <t>13:33</t>
        </is>
      </c>
      <c r="C2703" t="inlineStr">
        <is>
          <t>And if that is a tiger or a bad driver,</t>
        </is>
      </c>
      <c r="D2703">
        <f>HYPERLINK("https://www.youtube.com/watch?v=oITW0XsZd3o&amp;t=813s", "Go to time")</f>
        <v/>
      </c>
    </row>
    <row r="2704">
      <c r="A2704">
        <f>HYPERLINK("https://www.youtube.com/watch?v=oITW0XsZd3o", "Video")</f>
        <v/>
      </c>
      <c r="B2704" t="inlineStr">
        <is>
          <t>18:20</t>
        </is>
      </c>
      <c r="C2704" t="inlineStr">
        <is>
          <t>Like, "I'm feeling anxious because I have
my driver's test tomorrow</t>
        </is>
      </c>
      <c r="D2704">
        <f>HYPERLINK("https://www.youtube.com/watch?v=oITW0XsZd3o&amp;t=1100s", "Go to time")</f>
        <v/>
      </c>
    </row>
    <row r="2705">
      <c r="A2705">
        <f>HYPERLINK("https://www.youtube.com/watch?v=oITW0XsZd3o", "Video")</f>
        <v/>
      </c>
      <c r="B2705" t="inlineStr">
        <is>
          <t>18:26</t>
        </is>
      </c>
      <c r="C2705" t="inlineStr">
        <is>
          <t>There is a threat, they could fail
that driver's test, right?</t>
        </is>
      </c>
      <c r="D2705">
        <f>HYPERLINK("https://www.youtube.com/watch?v=oITW0XsZd3o&amp;t=1106s", "Go to time")</f>
        <v/>
      </c>
    </row>
    <row r="2706">
      <c r="A2706">
        <f>HYPERLINK("https://www.youtube.com/watch?v=B1fkNcmDrlM", "Video")</f>
        <v/>
      </c>
      <c r="B2706" t="inlineStr">
        <is>
          <t>8:04</t>
        </is>
      </c>
      <c r="C2706" t="inlineStr">
        <is>
          <t>and sharp pins being driven
into these different-colored hands,</t>
        </is>
      </c>
      <c r="D2706">
        <f>HYPERLINK("https://www.youtube.com/watch?v=B1fkNcmDrlM&amp;t=484s", "Go to time")</f>
        <v/>
      </c>
    </row>
    <row r="2707">
      <c r="A2707">
        <f>HYPERLINK("https://www.youtube.com/watch?v=TST0CsV8LHI", "Video")</f>
        <v/>
      </c>
      <c r="B2707" t="inlineStr">
        <is>
          <t>15:05</t>
        </is>
      </c>
      <c r="C2707" t="inlineStr">
        <is>
          <t>and combine it with this drive
that we all have to look up</t>
        </is>
      </c>
      <c r="D2707">
        <f>HYPERLINK("https://www.youtube.com/watch?v=TST0CsV8LHI&amp;t=905s", "Go to time")</f>
        <v/>
      </c>
    </row>
    <row r="2708">
      <c r="A2708">
        <f>HYPERLINK("https://www.youtube.com/watch?v=QjpaJpMd5NU", "Video")</f>
        <v/>
      </c>
      <c r="B2708" t="inlineStr">
        <is>
          <t>1:02</t>
        </is>
      </c>
      <c r="C2708" t="inlineStr">
        <is>
          <t>I'm free, maybe even driven,
to pursue my own happiness,</t>
        </is>
      </c>
      <c r="D2708">
        <f>HYPERLINK("https://www.youtube.com/watch?v=QjpaJpMd5NU&amp;t=62s", "Go to time")</f>
        <v/>
      </c>
    </row>
    <row r="2709">
      <c r="A2709">
        <f>HYPERLINK("https://www.youtube.com/watch?v=t0Cr64zCc38", "Video")</f>
        <v/>
      </c>
      <c r="B2709" t="inlineStr">
        <is>
          <t>4:38</t>
        </is>
      </c>
      <c r="C2709" t="inlineStr">
        <is>
          <t>Police departments already practice
data-driven accountability,</t>
        </is>
      </c>
      <c r="D2709">
        <f>HYPERLINK("https://www.youtube.com/watch?v=t0Cr64zCc38&amp;t=278s", "Go to time")</f>
        <v/>
      </c>
    </row>
    <row r="2710">
      <c r="A2710">
        <f>HYPERLINK("https://www.youtube.com/watch?v=t0Cr64zCc38", "Video")</f>
        <v/>
      </c>
      <c r="B2710" t="inlineStr">
        <is>
          <t>9:17</t>
        </is>
      </c>
      <c r="C2710" t="inlineStr">
        <is>
          <t>we can deliver a data-driven vaccine
against racial disparities in policing.</t>
        </is>
      </c>
      <c r="D2710">
        <f>HYPERLINK("https://www.youtube.com/watch?v=t0Cr64zCc38&amp;t=557s", "Go to time")</f>
        <v/>
      </c>
    </row>
    <row r="2711">
      <c r="A2711">
        <f>HYPERLINK("https://www.youtube.com/watch?v=1-_pzQqo7c0", "Video")</f>
        <v/>
      </c>
      <c r="B2711" t="inlineStr">
        <is>
          <t>3:52</t>
        </is>
      </c>
      <c r="C2711" t="inlineStr">
        <is>
          <t>And that circuit can drive
a little tiny LED</t>
        </is>
      </c>
      <c r="D2711">
        <f>HYPERLINK("https://www.youtube.com/watch?v=1-_pzQqo7c0&amp;t=232s", "Go to time")</f>
        <v/>
      </c>
    </row>
    <row r="2712">
      <c r="A2712">
        <f>HYPERLINK("https://www.youtube.com/watch?v=DL8_WHr9COs", "Video")</f>
        <v/>
      </c>
      <c r="B2712" t="inlineStr">
        <is>
          <t>0:28</t>
        </is>
      </c>
      <c r="C2712" t="inlineStr">
        <is>
          <t>we saw the rise of sustainable
and mission-driven brands.</t>
        </is>
      </c>
      <c r="D2712">
        <f>HYPERLINK("https://www.youtube.com/watch?v=DL8_WHr9COs&amp;t=28s", "Go to time")</f>
        <v/>
      </c>
    </row>
    <row r="2713">
      <c r="A2713">
        <f>HYPERLINK("https://www.youtube.com/watch?v=F9XB29JfKYo", "Video")</f>
        <v/>
      </c>
      <c r="B2713" t="inlineStr">
        <is>
          <t>3:00</t>
        </is>
      </c>
      <c r="C2713" t="inlineStr">
        <is>
          <t>It's what drives innovation
in our workplaces.</t>
        </is>
      </c>
      <c r="D2713">
        <f>HYPERLINK("https://www.youtube.com/watch?v=F9XB29JfKYo&amp;t=180s", "Go to time")</f>
        <v/>
      </c>
    </row>
    <row r="2714">
      <c r="A2714">
        <f>HYPERLINK("https://www.youtube.com/watch?v=F9XB29JfKYo", "Video")</f>
        <v/>
      </c>
      <c r="B2714" t="inlineStr">
        <is>
          <t>6:50</t>
        </is>
      </c>
      <c r="C2714" t="inlineStr">
        <is>
          <t>is that they're also three key drivers,</t>
        </is>
      </c>
      <c r="D2714">
        <f>HYPERLINK("https://www.youtube.com/watch?v=F9XB29JfKYo&amp;t=410s", "Go to time")</f>
        <v/>
      </c>
    </row>
    <row r="2715">
      <c r="A2715">
        <f>HYPERLINK("https://www.youtube.com/watch?v=4BFL4MCnZg8", "Video")</f>
        <v/>
      </c>
      <c r="B2715" t="inlineStr">
        <is>
          <t>7:54</t>
        </is>
      </c>
      <c r="C2715" t="inlineStr">
        <is>
          <t>to drive markets
for developing technologies</t>
        </is>
      </c>
      <c r="D2715">
        <f>HYPERLINK("https://www.youtube.com/watch?v=4BFL4MCnZg8&amp;t=474s", "Go to time")</f>
        <v/>
      </c>
    </row>
    <row r="2716">
      <c r="A2716">
        <f>HYPERLINK("https://www.youtube.com/watch?v=4BFL4MCnZg8", "Video")</f>
        <v/>
      </c>
      <c r="B2716" t="inlineStr">
        <is>
          <t>12:47</t>
        </is>
      </c>
      <c r="C2716" t="inlineStr">
        <is>
          <t>Bus drivers love this development</t>
        </is>
      </c>
      <c r="D2716">
        <f>HYPERLINK("https://www.youtube.com/watch?v=4BFL4MCnZg8&amp;t=767s", "Go to time")</f>
        <v/>
      </c>
    </row>
    <row r="2717">
      <c r="A2717">
        <f>HYPERLINK("https://www.youtube.com/watch?v=4BFL4MCnZg8", "Video")</f>
        <v/>
      </c>
      <c r="B2717" t="inlineStr">
        <is>
          <t>12:51</t>
        </is>
      </c>
      <c r="C2717" t="inlineStr">
        <is>
          <t>because an electric bus
is more pleasant to drive,</t>
        </is>
      </c>
      <c r="D2717">
        <f>HYPERLINK("https://www.youtube.com/watch?v=4BFL4MCnZg8&amp;t=771s", "Go to time")</f>
        <v/>
      </c>
    </row>
    <row r="2718">
      <c r="A2718">
        <f>HYPERLINK("https://www.youtube.com/watch?v=OlLFK8oSNEM", "Video")</f>
        <v/>
      </c>
      <c r="B2718" t="inlineStr">
        <is>
          <t>1:43</t>
        </is>
      </c>
      <c r="C2718" t="inlineStr">
        <is>
          <t>and we now drive them at the same speed
as 19th-century horse carriages?</t>
        </is>
      </c>
      <c r="D2718">
        <f>HYPERLINK("https://www.youtube.com/watch?v=OlLFK8oSNEM&amp;t=103s", "Go to time")</f>
        <v/>
      </c>
    </row>
    <row r="2719">
      <c r="A2719">
        <f>HYPERLINK("https://www.youtube.com/watch?v=OlLFK8oSNEM", "Video")</f>
        <v/>
      </c>
      <c r="B2719" t="inlineStr">
        <is>
          <t>6:14</t>
        </is>
      </c>
      <c r="C2719" t="inlineStr">
        <is>
          <t>That driver is looking for parking.</t>
        </is>
      </c>
      <c r="D2719">
        <f>HYPERLINK("https://www.youtube.com/watch?v=OlLFK8oSNEM&amp;t=374s", "Go to time")</f>
        <v/>
      </c>
    </row>
    <row r="2720">
      <c r="A2720">
        <f>HYPERLINK("https://www.youtube.com/watch?v=OlLFK8oSNEM", "Video")</f>
        <v/>
      </c>
      <c r="B2720" t="inlineStr">
        <is>
          <t>6:26</t>
        </is>
      </c>
      <c r="C2720" t="inlineStr">
        <is>
          <t>by drivers looking for parking.</t>
        </is>
      </c>
      <c r="D2720">
        <f>HYPERLINK("https://www.youtube.com/watch?v=OlLFK8oSNEM&amp;t=386s", "Go to time")</f>
        <v/>
      </c>
    </row>
    <row r="2721">
      <c r="A2721">
        <f>HYPERLINK("https://www.youtube.com/watch?v=OlLFK8oSNEM", "Video")</f>
        <v/>
      </c>
      <c r="B2721" t="inlineStr">
        <is>
          <t>6:34</t>
        </is>
      </c>
      <c r="C2721" t="inlineStr">
        <is>
          <t>Those 85 drivers could all fit
in one Londonian red bus.</t>
        </is>
      </c>
      <c r="D2721">
        <f>HYPERLINK("https://www.youtube.com/watch?v=OlLFK8oSNEM&amp;t=394s", "Go to time")</f>
        <v/>
      </c>
    </row>
    <row r="2722">
      <c r="A2722">
        <f>HYPERLINK("https://www.youtube.com/watch?v=OlLFK8oSNEM", "Video")</f>
        <v/>
      </c>
      <c r="B2722" t="inlineStr">
        <is>
          <t>8:39</t>
        </is>
      </c>
      <c r="C2722" t="inlineStr">
        <is>
          <t>and become express, driverless buses</t>
        </is>
      </c>
      <c r="D2722">
        <f>HYPERLINK("https://www.youtube.com/watch?v=OlLFK8oSNEM&amp;t=519s", "Go to time")</f>
        <v/>
      </c>
    </row>
    <row r="2723">
      <c r="A2723">
        <f>HYPERLINK("https://www.youtube.com/watch?v=OlLFK8oSNEM", "Video")</f>
        <v/>
      </c>
      <c r="B2723" t="inlineStr">
        <is>
          <t>8:56</t>
        </is>
      </c>
      <c r="C2723" t="inlineStr">
        <is>
          <t>and self-drives you
right to your doorstep.</t>
        </is>
      </c>
      <c r="D2723">
        <f>HYPERLINK("https://www.youtube.com/watch?v=OlLFK8oSNEM&amp;t=536s", "Go to time")</f>
        <v/>
      </c>
    </row>
    <row r="2724">
      <c r="A2724">
        <f>HYPERLINK("https://www.youtube.com/watch?v=OlLFK8oSNEM", "Video")</f>
        <v/>
      </c>
      <c r="B2724" t="inlineStr">
        <is>
          <t>9:03</t>
        </is>
      </c>
      <c r="C2724" t="inlineStr">
        <is>
          <t>This could be one of the shared,
modular, driverless vehicles of tomorrow.</t>
        </is>
      </c>
      <c r="D2724">
        <f>HYPERLINK("https://www.youtube.com/watch?v=OlLFK8oSNEM&amp;t=543s", "Go to time")</f>
        <v/>
      </c>
    </row>
    <row r="2725">
      <c r="A2725">
        <f>HYPERLINK("https://www.youtube.com/watch?v=OlLFK8oSNEM", "Video")</f>
        <v/>
      </c>
      <c r="B2725" t="inlineStr">
        <is>
          <t>9:28</t>
        </is>
      </c>
      <c r="C2725" t="inlineStr">
        <is>
          <t>the current generation of driverless cars
is just trying to earn its way</t>
        </is>
      </c>
      <c r="D2725">
        <f>HYPERLINK("https://www.youtube.com/watch?v=OlLFK8oSNEM&amp;t=568s", "Go to time")</f>
        <v/>
      </c>
    </row>
    <row r="2726">
      <c r="A2726">
        <f>HYPERLINK("https://www.youtube.com/watch?v=OlLFK8oSNEM", "Video")</f>
        <v/>
      </c>
      <c r="B2726" t="inlineStr">
        <is>
          <t>9:45</t>
        </is>
      </c>
      <c r="C2726" t="inlineStr">
        <is>
          <t>But what would happen
when whole cities become driverless?</t>
        </is>
      </c>
      <c r="D2726">
        <f>HYPERLINK("https://www.youtube.com/watch?v=OlLFK8oSNEM&amp;t=585s", "Go to time")</f>
        <v/>
      </c>
    </row>
    <row r="2727">
      <c r="A2727">
        <f>HYPERLINK("https://www.youtube.com/watch?v=OlLFK8oSNEM", "Video")</f>
        <v/>
      </c>
      <c r="B2727" t="inlineStr">
        <is>
          <t>9:59</t>
        </is>
      </c>
      <c r="C2727" t="inlineStr">
        <is>
          <t>In the first driverless cities,</t>
        </is>
      </c>
      <c r="D2727">
        <f>HYPERLINK("https://www.youtube.com/watch?v=OlLFK8oSNEM&amp;t=599s", "Go to time")</f>
        <v/>
      </c>
    </row>
    <row r="2728">
      <c r="A2728">
        <f>HYPERLINK("https://www.youtube.com/watch?v=OlLFK8oSNEM", "Video")</f>
        <v/>
      </c>
      <c r="B2728" t="inlineStr">
        <is>
          <t>10:04</t>
        </is>
      </c>
      <c r="C2728" t="inlineStr">
        <is>
          <t>And when all the cars
are driverless and connected,</t>
        </is>
      </c>
      <c r="D2728">
        <f>HYPERLINK("https://www.youtube.com/watch?v=OlLFK8oSNEM&amp;t=604s", "Go to time")</f>
        <v/>
      </c>
    </row>
    <row r="2729">
      <c r="A2729">
        <f>HYPERLINK("https://www.youtube.com/watch?v=OlLFK8oSNEM", "Video")</f>
        <v/>
      </c>
      <c r="B2729" t="inlineStr">
        <is>
          <t>10:11</t>
        </is>
      </c>
      <c r="C2729" t="inlineStr">
        <is>
          <t>They can drive much faster</t>
        </is>
      </c>
      <c r="D2729">
        <f>HYPERLINK("https://www.youtube.com/watch?v=OlLFK8oSNEM&amp;t=611s", "Go to time")</f>
        <v/>
      </c>
    </row>
    <row r="2730">
      <c r="A2730">
        <f>HYPERLINK("https://www.youtube.com/watch?v=cTnPqgL8ZPs", "Video")</f>
        <v/>
      </c>
      <c r="B2730" t="inlineStr">
        <is>
          <t>6:52</t>
        </is>
      </c>
      <c r="C2730" t="inlineStr">
        <is>
          <t>and fueled my drive
for professional success.</t>
        </is>
      </c>
      <c r="D2730">
        <f>HYPERLINK("https://www.youtube.com/watch?v=cTnPqgL8ZPs&amp;t=412s", "Go to time")</f>
        <v/>
      </c>
    </row>
    <row r="2731">
      <c r="A2731">
        <f>HYPERLINK("https://www.youtube.com/watch?v=AO4In7d6X-c", "Video")</f>
        <v/>
      </c>
      <c r="B2731" t="inlineStr">
        <is>
          <t>8:10</t>
        </is>
      </c>
      <c r="C2731" t="inlineStr">
        <is>
          <t>So it's a data-driven hardware design.</t>
        </is>
      </c>
      <c r="D2731">
        <f>HYPERLINK("https://www.youtube.com/watch?v=AO4In7d6X-c&amp;t=490s", "Go to time")</f>
        <v/>
      </c>
    </row>
    <row r="2732">
      <c r="A2732">
        <f>HYPERLINK("https://www.youtube.com/watch?v=tuvxXnQrRv8", "Video")</f>
        <v/>
      </c>
      <c r="B2732" t="inlineStr">
        <is>
          <t>4:50</t>
        </is>
      </c>
      <c r="C2732" t="inlineStr">
        <is>
          <t>because the energy source
that's needed to drive them, the sun,</t>
        </is>
      </c>
      <c r="D2732">
        <f>HYPERLINK("https://www.youtube.com/watch?v=tuvxXnQrRv8&amp;t=290s", "Go to time")</f>
        <v/>
      </c>
    </row>
    <row r="2733">
      <c r="A2733">
        <f>HYPERLINK("https://www.youtube.com/watch?v=tuvxXnQrRv8", "Video")</f>
        <v/>
      </c>
      <c r="B2733" t="inlineStr">
        <is>
          <t>4:55</t>
        </is>
      </c>
      <c r="C2733" t="inlineStr">
        <is>
          <t>We use the sun to drive
photosynthesis in plants,</t>
        </is>
      </c>
      <c r="D2733">
        <f>HYPERLINK("https://www.youtube.com/watch?v=tuvxXnQrRv8&amp;t=295s", "Go to time")</f>
        <v/>
      </c>
    </row>
    <row r="2734">
      <c r="A2734">
        <f>HYPERLINK("https://www.youtube.com/watch?v=jr5mTwfFh00", "Video")</f>
        <v/>
      </c>
      <c r="B2734" t="inlineStr">
        <is>
          <t>6:32</t>
        </is>
      </c>
      <c r="C2734" t="inlineStr">
        <is>
          <t>I have a capitalist drive to innovate.</t>
        </is>
      </c>
      <c r="D2734">
        <f>HYPERLINK("https://www.youtube.com/watch?v=jr5mTwfFh00&amp;t=392s", "Go to time")</f>
        <v/>
      </c>
    </row>
    <row r="2735">
      <c r="A2735">
        <f>HYPERLINK("https://www.youtube.com/watch?v=PrJAX-iQ-O4", "Video")</f>
        <v/>
      </c>
      <c r="B2735" t="inlineStr">
        <is>
          <t>7:22</t>
        </is>
      </c>
      <c r="C2735" t="inlineStr">
        <is>
          <t>And what you do is jumping jacks
in your driveway,</t>
        </is>
      </c>
      <c r="D2735">
        <f>HYPERLINK("https://www.youtube.com/watch?v=PrJAX-iQ-O4&amp;t=442s", "Go to time")</f>
        <v/>
      </c>
    </row>
    <row r="2736">
      <c r="A2736">
        <f>HYPERLINK("https://www.youtube.com/watch?v=w4RLfVxTGH4", "Video")</f>
        <v/>
      </c>
      <c r="B2736" t="inlineStr">
        <is>
          <t>8:12</t>
        </is>
      </c>
      <c r="C2736" t="inlineStr">
        <is>
          <t>It's the drive not to make
one idea win or another lose,</t>
        </is>
      </c>
      <c r="D2736">
        <f>HYPERLINK("https://www.youtube.com/watch?v=w4RLfVxTGH4&amp;t=492s", "Go to time")</f>
        <v/>
      </c>
    </row>
    <row r="2737">
      <c r="A2737">
        <f>HYPERLINK("https://www.youtube.com/watch?v=rsL4vztsChc", "Video")</f>
        <v/>
      </c>
      <c r="B2737" t="inlineStr">
        <is>
          <t>4:18</t>
        </is>
      </c>
      <c r="C2737" t="inlineStr">
        <is>
          <t>very big driver of climate change and we</t>
        </is>
      </c>
      <c r="D2737">
        <f>HYPERLINK("https://www.youtube.com/watch?v=rsL4vztsChc&amp;t=258s", "Go to time")</f>
        <v/>
      </c>
    </row>
    <row r="2738">
      <c r="A2738">
        <f>HYPERLINK("https://www.youtube.com/watch?v=7GN10u6F9m0", "Video")</f>
        <v/>
      </c>
      <c r="B2738" t="inlineStr">
        <is>
          <t>3:07</t>
        </is>
      </c>
      <c r="C2738" t="inlineStr">
        <is>
          <t>humiliation and exclusion
are some of the key drivers of war.</t>
        </is>
      </c>
      <c r="D2738">
        <f>HYPERLINK("https://www.youtube.com/watch?v=7GN10u6F9m0&amp;t=187s", "Go to time")</f>
        <v/>
      </c>
    </row>
    <row r="2739">
      <c r="A2739">
        <f>HYPERLINK("https://www.youtube.com/watch?v=JCL4lsW6CUY", "Video")</f>
        <v/>
      </c>
      <c r="B2739" t="inlineStr">
        <is>
          <t>7:05</t>
        </is>
      </c>
      <c r="C2739" t="inlineStr">
        <is>
          <t>and in doing so, we drive the water
the opposite direction.</t>
        </is>
      </c>
      <c r="D2739">
        <f>HYPERLINK("https://www.youtube.com/watch?v=JCL4lsW6CUY&amp;t=425s", "Go to time")</f>
        <v/>
      </c>
    </row>
    <row r="2740">
      <c r="A2740">
        <f>HYPERLINK("https://www.youtube.com/watch?v=OsbV1_tA1oU", "Video")</f>
        <v/>
      </c>
      <c r="B2740" t="inlineStr">
        <is>
          <t>2:18</t>
        </is>
      </c>
      <c r="C2740" t="inlineStr">
        <is>
          <t>that inequality drives wedges
in our politics.</t>
        </is>
      </c>
      <c r="D2740">
        <f>HYPERLINK("https://www.youtube.com/watch?v=OsbV1_tA1oU&amp;t=138s", "Go to time")</f>
        <v/>
      </c>
    </row>
    <row r="2741">
      <c r="A2741">
        <f>HYPERLINK("https://www.youtube.com/watch?v=OsbV1_tA1oU", "Video")</f>
        <v/>
      </c>
      <c r="B2741" t="inlineStr">
        <is>
          <t>3:11</t>
        </is>
      </c>
      <c r="C2741" t="inlineStr">
        <is>
          <t>Most people think they're
better drivers than average.</t>
        </is>
      </c>
      <c r="D2741">
        <f>HYPERLINK("https://www.youtube.com/watch?v=OsbV1_tA1oU&amp;t=191s", "Go to time")</f>
        <v/>
      </c>
    </row>
    <row r="2742">
      <c r="A2742">
        <f>HYPERLINK("https://www.youtube.com/watch?v=OsbV1_tA1oU", "Video")</f>
        <v/>
      </c>
      <c r="B2742" t="inlineStr">
        <is>
          <t>8:21</t>
        </is>
      </c>
      <c r="C2742" t="inlineStr">
        <is>
          <t>But this is new because we found
it was driven entirely by the group</t>
        </is>
      </c>
      <c r="D2742">
        <f>HYPERLINK("https://www.youtube.com/watch?v=OsbV1_tA1oU&amp;t=501s", "Go to time")</f>
        <v/>
      </c>
    </row>
    <row r="2743">
      <c r="A2743">
        <f>HYPERLINK("https://www.youtube.com/watch?v=OsbV1_tA1oU", "Video")</f>
        <v/>
      </c>
      <c r="B2743" t="inlineStr">
        <is>
          <t>9:09</t>
        </is>
      </c>
      <c r="C2743" t="inlineStr">
        <is>
          <t>aren't taking to the streets to protest
or organize voter registration drives.</t>
        </is>
      </c>
      <c r="D2743">
        <f>HYPERLINK("https://www.youtube.com/watch?v=OsbV1_tA1oU&amp;t=549s", "Go to time")</f>
        <v/>
      </c>
    </row>
    <row r="2744">
      <c r="A2744">
        <f>HYPERLINK("https://www.youtube.com/watch?v=DhnBn_c9f8Q", "Video")</f>
        <v/>
      </c>
      <c r="B2744" t="inlineStr">
        <is>
          <t>7:42</t>
        </is>
      </c>
      <c r="C2744" t="inlineStr">
        <is>
          <t>always pretty much drives you insane.</t>
        </is>
      </c>
      <c r="D2744">
        <f>HYPERLINK("https://www.youtube.com/watch?v=DhnBn_c9f8Q&amp;t=462s", "Go to time")</f>
        <v/>
      </c>
    </row>
    <row r="2745">
      <c r="A2745">
        <f>HYPERLINK("https://www.youtube.com/watch?v=xJM_CQN8-ns", "Video")</f>
        <v/>
      </c>
      <c r="B2745" t="inlineStr">
        <is>
          <t>6:08</t>
        </is>
      </c>
      <c r="C2745" t="inlineStr">
        <is>
          <t>can put you in the driver's seat --</t>
        </is>
      </c>
      <c r="D2745">
        <f>HYPERLINK("https://www.youtube.com/watch?v=xJM_CQN8-ns&amp;t=368s", "Go to time")</f>
        <v/>
      </c>
    </row>
    <row r="2746">
      <c r="A2746">
        <f>HYPERLINK("https://www.youtube.com/watch?v=uxQ0OoyaALQ", "Video")</f>
        <v/>
      </c>
      <c r="B2746" t="inlineStr">
        <is>
          <t>3:17</t>
        </is>
      </c>
      <c r="C2746" t="inlineStr">
        <is>
          <t>drive you're not going to have the space</t>
        </is>
      </c>
      <c r="D2746">
        <f>HYPERLINK("https://www.youtube.com/watch?v=uxQ0OoyaALQ&amp;t=197s", "Go to time")</f>
        <v/>
      </c>
    </row>
    <row r="2747">
      <c r="A2747">
        <f>HYPERLINK("https://www.youtube.com/watch?v=Tob_DDLXImM", "Video")</f>
        <v/>
      </c>
      <c r="B2747" t="inlineStr">
        <is>
          <t>41:29</t>
        </is>
      </c>
      <c r="C2747" t="inlineStr">
        <is>
          <t>seeeking, purpose-driven creatures. And</t>
        </is>
      </c>
      <c r="D2747">
        <f>HYPERLINK("https://www.youtube.com/watch?v=Tob_DDLXImM&amp;t=2489s", "Go to time")</f>
        <v/>
      </c>
    </row>
    <row r="2748">
      <c r="A2748">
        <f>HYPERLINK("https://www.youtube.com/watch?v=5qaktKVL_zM", "Video")</f>
        <v/>
      </c>
      <c r="B2748" t="inlineStr">
        <is>
          <t>8:52</t>
        </is>
      </c>
      <c r="C2748" t="inlineStr">
        <is>
          <t>I can't drive you around on it
because I can barely pedal a bicycle,</t>
        </is>
      </c>
      <c r="D2748">
        <f>HYPERLINK("https://www.youtube.com/watch?v=5qaktKVL_zM&amp;t=532s", "Go to time")</f>
        <v/>
      </c>
    </row>
    <row r="2749">
      <c r="A2749">
        <f>HYPERLINK("https://www.youtube.com/watch?v=7x21HAC2gnA", "Video")</f>
        <v/>
      </c>
      <c r="B2749" t="inlineStr">
        <is>
          <t>6:14</t>
        </is>
      </c>
      <c r="C2749" t="inlineStr">
        <is>
          <t>actually had to drive all the way to the</t>
        </is>
      </c>
      <c r="D2749">
        <f>HYPERLINK("https://www.youtube.com/watch?v=7x21HAC2gnA&amp;t=374s", "Go to time")</f>
        <v/>
      </c>
    </row>
    <row r="2750">
      <c r="A2750">
        <f>HYPERLINK("https://www.youtube.com/watch?v=7x21HAC2gnA", "Video")</f>
        <v/>
      </c>
      <c r="B2750" t="inlineStr">
        <is>
          <t>43:59</t>
        </is>
      </c>
      <c r="C2750" t="inlineStr">
        <is>
          <t>drives you what's the what's the thing</t>
        </is>
      </c>
      <c r="D2750">
        <f>HYPERLINK("https://www.youtube.com/watch?v=7x21HAC2gnA&amp;t=2639s", "Go to time")</f>
        <v/>
      </c>
    </row>
    <row r="2751">
      <c r="A2751">
        <f>HYPERLINK("https://www.youtube.com/watch?v=7x21HAC2gnA", "Video")</f>
        <v/>
      </c>
      <c r="B2751" t="inlineStr">
        <is>
          <t>44:20</t>
        </is>
      </c>
      <c r="C2751" t="inlineStr">
        <is>
          <t>drives me right know is dark matter I</t>
        </is>
      </c>
      <c r="D2751">
        <f>HYPERLINK("https://www.youtube.com/watch?v=7x21HAC2gnA&amp;t=2660s", "Go to time")</f>
        <v/>
      </c>
    </row>
    <row r="2752">
      <c r="A2752">
        <f>HYPERLINK("https://www.youtube.com/watch?v=7x21HAC2gnA", "Video")</f>
        <v/>
      </c>
      <c r="B2752" t="inlineStr">
        <is>
          <t>44:54</t>
        </is>
      </c>
      <c r="C2752" t="inlineStr">
        <is>
          <t>so that's the question that drives me</t>
        </is>
      </c>
      <c r="D2752">
        <f>HYPERLINK("https://www.youtube.com/watch?v=7x21HAC2gnA&amp;t=2694s", "Go to time")</f>
        <v/>
      </c>
    </row>
    <row r="2753">
      <c r="A2753">
        <f>HYPERLINK("https://www.youtube.com/watch?v=-mwF-znI4x0", "Video")</f>
        <v/>
      </c>
      <c r="B2753" t="inlineStr">
        <is>
          <t>3:10</t>
        </is>
      </c>
      <c r="C2753" t="inlineStr">
        <is>
          <t>I know how to drive,</t>
        </is>
      </c>
      <c r="D2753">
        <f>HYPERLINK("https://www.youtube.com/watch?v=-mwF-znI4x0&amp;t=190s", "Go to time")</f>
        <v/>
      </c>
    </row>
    <row r="2754">
      <c r="A2754">
        <f>HYPERLINK("https://www.youtube.com/watch?v=nbYA5pPzfCw", "Video")</f>
        <v/>
      </c>
      <c r="B2754" t="inlineStr">
        <is>
          <t>4:17</t>
        </is>
      </c>
      <c r="C2754" t="inlineStr">
        <is>
          <t>therapeutics for major diseases
that metabolites are key drivers for,</t>
        </is>
      </c>
      <c r="D2754">
        <f>HYPERLINK("https://www.youtube.com/watch?v=nbYA5pPzfCw&amp;t=257s", "Go to time")</f>
        <v/>
      </c>
    </row>
    <row r="2755">
      <c r="A2755">
        <f>HYPERLINK("https://www.youtube.com/watch?v=IZ2N3tF4W_k", "Video")</f>
        <v/>
      </c>
      <c r="B2755" t="inlineStr">
        <is>
          <t>6:18</t>
        </is>
      </c>
      <c r="C2755" t="inlineStr">
        <is>
          <t>the rest of it will be driven
by your Q and A,</t>
        </is>
      </c>
      <c r="D2755">
        <f>HYPERLINK("https://www.youtube.com/watch?v=IZ2N3tF4W_k&amp;t=378s", "Go to time")</f>
        <v/>
      </c>
    </row>
    <row r="2756">
      <c r="A2756">
        <f>HYPERLINK("https://www.youtube.com/watch?v=c_YLAhZpfMI", "Video")</f>
        <v/>
      </c>
      <c r="B2756" t="inlineStr">
        <is>
          <t>6:25</t>
        </is>
      </c>
      <c r="C2756" t="inlineStr">
        <is>
          <t>Do you drive,</t>
        </is>
      </c>
      <c r="D2756">
        <f>HYPERLINK("https://www.youtube.com/watch?v=c_YLAhZpfMI&amp;t=385s", "Go to time")</f>
        <v/>
      </c>
    </row>
    <row r="2757">
      <c r="A2757">
        <f>HYPERLINK("https://www.youtube.com/watch?v=XZ65W5ZxapA", "Video")</f>
        <v/>
      </c>
      <c r="B2757" t="inlineStr">
        <is>
          <t>4:21</t>
        </is>
      </c>
      <c r="C2757" t="inlineStr">
        <is>
          <t>Father of two, family man, truck driver</t>
        </is>
      </c>
      <c r="D2757">
        <f>HYPERLINK("https://www.youtube.com/watch?v=XZ65W5ZxapA&amp;t=261s", "Go to time")</f>
        <v/>
      </c>
    </row>
    <row r="2758">
      <c r="A2758">
        <f>HYPERLINK("https://www.youtube.com/watch?v=rXxUCeRVma4", "Video")</f>
        <v/>
      </c>
      <c r="B2758" t="inlineStr">
        <is>
          <t>4:03</t>
        </is>
      </c>
      <c r="C2758" t="inlineStr">
        <is>
          <t>Remember, it's not easy for busy,
highly driven people to rest.</t>
        </is>
      </c>
      <c r="D2758">
        <f>HYPERLINK("https://www.youtube.com/watch?v=rXxUCeRVma4&amp;t=243s", "Go to time")</f>
        <v/>
      </c>
    </row>
    <row r="2759">
      <c r="A2759">
        <f>HYPERLINK("https://www.youtube.com/watch?v=JY-_GRi56KQ", "Video")</f>
        <v/>
      </c>
      <c r="B2759" t="inlineStr">
        <is>
          <t>8:55</t>
        </is>
      </c>
      <c r="C2759" t="inlineStr">
        <is>
          <t>We all know that individual choices
can drive collective action.</t>
        </is>
      </c>
      <c r="D2759">
        <f>HYPERLINK("https://www.youtube.com/watch?v=JY-_GRi56KQ&amp;t=535s", "Go to time")</f>
        <v/>
      </c>
    </row>
    <row r="2760">
      <c r="A2760">
        <f>HYPERLINK("https://www.youtube.com/watch?v=2Brajdazp1o", "Video")</f>
        <v/>
      </c>
      <c r="B2760" t="inlineStr">
        <is>
          <t>12:00</t>
        </is>
      </c>
      <c r="C2760" t="inlineStr">
        <is>
          <t>figure out how you can communicate
to those who can drive this change</t>
        </is>
      </c>
      <c r="D2760">
        <f>HYPERLINK("https://www.youtube.com/watch?v=2Brajdazp1o&amp;t=720s", "Go to time")</f>
        <v/>
      </c>
    </row>
    <row r="2761">
      <c r="A2761">
        <f>HYPERLINK("https://www.youtube.com/watch?v=41fjuqBaUt4", "Video")</f>
        <v/>
      </c>
      <c r="B2761" t="inlineStr">
        <is>
          <t>10:27</t>
        </is>
      </c>
      <c r="C2761" t="inlineStr">
        <is>
          <t>To drive this home even further,</t>
        </is>
      </c>
      <c r="D2761">
        <f>HYPERLINK("https://www.youtube.com/watch?v=41fjuqBaUt4&amp;t=627s", "Go to time")</f>
        <v/>
      </c>
    </row>
    <row r="2762">
      <c r="A2762">
        <f>HYPERLINK("https://www.youtube.com/watch?v=DdlTvyQl5ws", "Video")</f>
        <v/>
      </c>
      <c r="B2762" t="inlineStr">
        <is>
          <t>3:37</t>
        </is>
      </c>
      <c r="C2762" t="inlineStr">
        <is>
          <t>Entrepreneurship has driven
extraordinary wealth in this country.</t>
        </is>
      </c>
      <c r="D2762">
        <f>HYPERLINK("https://www.youtube.com/watch?v=DdlTvyQl5ws&amp;t=217s", "Go to time")</f>
        <v/>
      </c>
    </row>
    <row r="2763">
      <c r="A2763">
        <f>HYPERLINK("https://www.youtube.com/watch?v=DdlTvyQl5ws", "Video")</f>
        <v/>
      </c>
      <c r="B2763" t="inlineStr">
        <is>
          <t>6:55</t>
        </is>
      </c>
      <c r="C2763" t="inlineStr">
        <is>
          <t>Finally, when I think about the biggest
drivers of entrepreneurial inequity,</t>
        </is>
      </c>
      <c r="D2763">
        <f>HYPERLINK("https://www.youtube.com/watch?v=DdlTvyQl5ws&amp;t=415s", "Go to time")</f>
        <v/>
      </c>
    </row>
    <row r="2764">
      <c r="A2764">
        <f>HYPERLINK("https://www.youtube.com/watch?v=fojPLOE150c", "Video")</f>
        <v/>
      </c>
      <c r="B2764" t="inlineStr">
        <is>
          <t>19:50</t>
        </is>
      </c>
      <c r="C2764" t="inlineStr">
        <is>
          <t>the platforms they have,
the algorithms they drive</t>
        </is>
      </c>
      <c r="D2764">
        <f>HYPERLINK("https://www.youtube.com/watch?v=fojPLOE150c&amp;t=1190s", "Go to time")</f>
        <v/>
      </c>
    </row>
    <row r="2765">
      <c r="A2765">
        <f>HYPERLINK("https://www.youtube.com/watch?v=fojPLOE150c", "Video")</f>
        <v/>
      </c>
      <c r="B2765" t="inlineStr">
        <is>
          <t>25:52</t>
        </is>
      </c>
      <c r="C2765" t="inlineStr">
        <is>
          <t>The AI-driven disinformation
around the US election in 2024</t>
        </is>
      </c>
      <c r="D2765">
        <f>HYPERLINK("https://www.youtube.com/watch?v=fojPLOE150c&amp;t=1552s", "Go to time")</f>
        <v/>
      </c>
    </row>
    <row r="2766">
      <c r="A2766">
        <f>HYPERLINK("https://www.youtube.com/watch?v=fojPLOE150c", "Video")</f>
        <v/>
      </c>
      <c r="B2766" t="inlineStr">
        <is>
          <t>30:00</t>
        </is>
      </c>
      <c r="C2766" t="inlineStr">
        <is>
          <t>and in part because those investments
are driven much more</t>
        </is>
      </c>
      <c r="D2766">
        <f>HYPERLINK("https://www.youtube.com/watch?v=fojPLOE150c&amp;t=1800s", "Go to time")</f>
        <v/>
      </c>
    </row>
    <row r="2767">
      <c r="A2767">
        <f>HYPERLINK("https://www.youtube.com/watch?v=pzN4WGPC4kc", "Video")</f>
        <v/>
      </c>
      <c r="B2767" t="inlineStr">
        <is>
          <t>11:51</t>
        </is>
      </c>
      <c r="C2767" t="inlineStr">
        <is>
          <t>the connected but unused hard drives
of millions of computers around the world,</t>
        </is>
      </c>
      <c r="D2767">
        <f>HYPERLINK("https://www.youtube.com/watch?v=pzN4WGPC4kc&amp;t=711s", "Go to time")</f>
        <v/>
      </c>
    </row>
    <row r="2768">
      <c r="A2768">
        <f>HYPERLINK("https://www.youtube.com/watch?v=EfeiKPSBKfg", "Video")</f>
        <v/>
      </c>
      <c r="B2768" t="inlineStr">
        <is>
          <t>6:17</t>
        </is>
      </c>
      <c r="C2768" t="inlineStr">
        <is>
          <t>It is ... it's mission-driven.</t>
        </is>
      </c>
      <c r="D2768">
        <f>HYPERLINK("https://www.youtube.com/watch?v=EfeiKPSBKfg&amp;t=377s", "Go to time")</f>
        <v/>
      </c>
    </row>
    <row r="2769">
      <c r="A2769">
        <f>HYPERLINK("https://www.youtube.com/watch?v=EfeiKPSBKfg", "Video")</f>
        <v/>
      </c>
      <c r="B2769" t="inlineStr">
        <is>
          <t>9:06</t>
        </is>
      </c>
      <c r="C2769" t="inlineStr">
        <is>
          <t>It's what's going to inform
what drives us to fight.</t>
        </is>
      </c>
      <c r="D2769">
        <f>HYPERLINK("https://www.youtube.com/watch?v=EfeiKPSBKfg&amp;t=546s", "Go to time")</f>
        <v/>
      </c>
    </row>
    <row r="2770">
      <c r="A2770">
        <f>HYPERLINK("https://www.youtube.com/watch?v=AyWtIwwEgS0", "Video")</f>
        <v/>
      </c>
      <c r="B2770" t="inlineStr">
        <is>
          <t>11:40</t>
        </is>
      </c>
      <c r="C2770" t="inlineStr">
        <is>
          <t>towards a model driven
by domestic consumption.</t>
        </is>
      </c>
      <c r="D2770">
        <f>HYPERLINK("https://www.youtube.com/watch?v=AyWtIwwEgS0&amp;t=700s", "Go to time")</f>
        <v/>
      </c>
    </row>
    <row r="2771">
      <c r="A2771">
        <f>HYPERLINK("https://www.youtube.com/watch?v=tPlQGy-9hSI", "Video")</f>
        <v/>
      </c>
      <c r="B2771" t="inlineStr">
        <is>
          <t>3:34</t>
        </is>
      </c>
      <c r="C2771" t="inlineStr">
        <is>
          <t>that takes a radically community-driven
approach to supporting families,</t>
        </is>
      </c>
      <c r="D2771">
        <f>HYPERLINK("https://www.youtube.com/watch?v=tPlQGy-9hSI&amp;t=214s", "Go to time")</f>
        <v/>
      </c>
    </row>
    <row r="2772">
      <c r="A2772">
        <f>HYPERLINK("https://www.youtube.com/watch?v=3x3X6HELtog", "Video")</f>
        <v/>
      </c>
      <c r="B2772" t="inlineStr">
        <is>
          <t>5:29</t>
        </is>
      </c>
      <c r="C2772" t="inlineStr">
        <is>
          <t>Storylines drive up the stakes.</t>
        </is>
      </c>
      <c r="D2772">
        <f>HYPERLINK("https://www.youtube.com/watch?v=3x3X6HELtog&amp;t=329s", "Go to time")</f>
        <v/>
      </c>
    </row>
    <row r="2773">
      <c r="A2773">
        <f>HYPERLINK("https://www.youtube.com/watch?v=3x3X6HELtog", "Video")</f>
        <v/>
      </c>
      <c r="B2773" t="inlineStr">
        <is>
          <t>12:25</t>
        </is>
      </c>
      <c r="C2773" t="inlineStr">
        <is>
          <t>What drives interest in sports
are the heroes and the villains,</t>
        </is>
      </c>
      <c r="D2773">
        <f>HYPERLINK("https://www.youtube.com/watch?v=3x3X6HELtog&amp;t=745s", "Go to time")</f>
        <v/>
      </c>
    </row>
    <row r="2774">
      <c r="A2774">
        <f>HYPERLINK("https://www.youtube.com/watch?v=3x3X6HELtog", "Video")</f>
        <v/>
      </c>
      <c r="B2774" t="inlineStr">
        <is>
          <t>13:49</t>
        </is>
      </c>
      <c r="C2774" t="inlineStr">
        <is>
          <t>and it's driven by deep
and human motivations.</t>
        </is>
      </c>
      <c r="D2774">
        <f>HYPERLINK("https://www.youtube.com/watch?v=3x3X6HELtog&amp;t=829s", "Go to time")</f>
        <v/>
      </c>
    </row>
    <row r="2775">
      <c r="A2775">
        <f>HYPERLINK("https://www.youtube.com/watch?v=G9UEBLcJIRc", "Video")</f>
        <v/>
      </c>
      <c r="B2775" t="inlineStr">
        <is>
          <t>14:16</t>
        </is>
      </c>
      <c r="C2775" t="inlineStr">
        <is>
          <t>They don't check their fire alarms,
they drive faster.</t>
        </is>
      </c>
      <c r="D2775">
        <f>HYPERLINK("https://www.youtube.com/watch?v=G9UEBLcJIRc&amp;t=856s", "Go to time")</f>
        <v/>
      </c>
    </row>
    <row r="2776">
      <c r="A2776">
        <f>HYPERLINK("https://www.youtube.com/watch?v=rAZPIxYvBAE", "Video")</f>
        <v/>
      </c>
      <c r="B2776" t="inlineStr">
        <is>
          <t>3:29</t>
        </is>
      </c>
      <c r="C2776" t="inlineStr">
        <is>
          <t>From the car that you drive
to the food that you eat</t>
        </is>
      </c>
      <c r="D2776">
        <f>HYPERLINK("https://www.youtube.com/watch?v=rAZPIxYvBAE&amp;t=209s", "Go to time")</f>
        <v/>
      </c>
    </row>
    <row r="2777">
      <c r="A2777">
        <f>HYPERLINK("https://www.youtube.com/watch?v=X0DJah-4kAM", "Video")</f>
        <v/>
      </c>
      <c r="B2777" t="inlineStr">
        <is>
          <t>4:33</t>
        </is>
      </c>
      <c r="C2777" t="inlineStr">
        <is>
          <t>Does Toyota market cars to little kids
who aren't old enough to drive?</t>
        </is>
      </c>
      <c r="D2777">
        <f>HYPERLINK("https://www.youtube.com/watch?v=X0DJah-4kAM&amp;t=273s", "Go to time")</f>
        <v/>
      </c>
    </row>
    <row r="2778">
      <c r="A2778">
        <f>HYPERLINK("https://www.youtube.com/watch?v=Cxm1JbeG2tI", "Video")</f>
        <v/>
      </c>
      <c r="B2778" t="inlineStr">
        <is>
          <t>13:20</t>
        </is>
      </c>
      <c r="C2778" t="inlineStr">
        <is>
          <t>Yes, we are driven by incentives.</t>
        </is>
      </c>
      <c r="D2778">
        <f>HYPERLINK("https://www.youtube.com/watch?v=Cxm1JbeG2tI&amp;t=800s", "Go to time")</f>
        <v/>
      </c>
    </row>
    <row r="2779">
      <c r="A2779">
        <f>HYPERLINK("https://www.youtube.com/watch?v=Cxm1JbeG2tI", "Video")</f>
        <v/>
      </c>
      <c r="B2779" t="inlineStr">
        <is>
          <t>13:24</t>
        </is>
      </c>
      <c r="C2779" t="inlineStr">
        <is>
          <t>But we are also driven by love,</t>
        </is>
      </c>
      <c r="D2779">
        <f>HYPERLINK("https://www.youtube.com/watch?v=Cxm1JbeG2tI&amp;t=804s", "Go to time")</f>
        <v/>
      </c>
    </row>
    <row r="2780">
      <c r="A2780">
        <f>HYPERLINK("https://www.youtube.com/watch?v=4vYUfKGtJA8", "Video")</f>
        <v/>
      </c>
      <c r="B2780" t="inlineStr">
        <is>
          <t>3:58</t>
        </is>
      </c>
      <c r="C2780" t="inlineStr">
        <is>
          <t>we asked about what it would take
to drive greater data sharing</t>
        </is>
      </c>
      <c r="D2780">
        <f>HYPERLINK("https://www.youtube.com/watch?v=4vYUfKGtJA8&amp;t=238s", "Go to time")</f>
        <v/>
      </c>
    </row>
    <row r="2781">
      <c r="A2781">
        <f>HYPERLINK("https://www.youtube.com/watch?v=Fu1Zi1PYqos", "Video")</f>
        <v/>
      </c>
      <c r="B2781" t="inlineStr">
        <is>
          <t>4:08</t>
        </is>
      </c>
      <c r="C2781" t="inlineStr">
        <is>
          <t>where activating one path
can drive positive emotion and approach,</t>
        </is>
      </c>
      <c r="D2781">
        <f>HYPERLINK("https://www.youtube.com/watch?v=Fu1Zi1PYqos&amp;t=248s", "Go to time")</f>
        <v/>
      </c>
    </row>
    <row r="2782">
      <c r="A2782">
        <f>HYPERLINK("https://www.youtube.com/watch?v=Fu1Zi1PYqos", "Video")</f>
        <v/>
      </c>
      <c r="B2782" t="inlineStr">
        <is>
          <t>4:12</t>
        </is>
      </c>
      <c r="C2782" t="inlineStr">
        <is>
          <t>and activating another path
can drive negative emotion and avoidance.</t>
        </is>
      </c>
      <c r="D2782">
        <f>HYPERLINK("https://www.youtube.com/watch?v=Fu1Zi1PYqos&amp;t=252s", "Go to time")</f>
        <v/>
      </c>
    </row>
    <row r="2783">
      <c r="A2783">
        <f>HYPERLINK("https://www.youtube.com/watch?v=Fu1Zi1PYqos", "Video")</f>
        <v/>
      </c>
      <c r="B2783" t="inlineStr">
        <is>
          <t>6:48</t>
        </is>
      </c>
      <c r="C2783" t="inlineStr">
        <is>
          <t>without messing up
the hunger-driven feeding</t>
        </is>
      </c>
      <c r="D2783">
        <f>HYPERLINK("https://www.youtube.com/watch?v=Fu1Zi1PYqos&amp;t=408s", "Go to time")</f>
        <v/>
      </c>
    </row>
    <row r="2784">
      <c r="A2784">
        <f>HYPERLINK("https://www.youtube.com/watch?v=Fu1Zi1PYqos", "Video")</f>
        <v/>
      </c>
      <c r="B2784" t="inlineStr">
        <is>
          <t>7:44</t>
        </is>
      </c>
      <c r="C2784" t="inlineStr">
        <is>
          <t>So this circuit is sufficient
to drive feeding behavior</t>
        </is>
      </c>
      <c r="D2784">
        <f>HYPERLINK("https://www.youtube.com/watch?v=Fu1Zi1PYqos&amp;t=464s", "Go to time")</f>
        <v/>
      </c>
    </row>
    <row r="2785">
      <c r="A2785">
        <f>HYPERLINK("https://www.youtube.com/watch?v=Fu1Zi1PYqos", "Video")</f>
        <v/>
      </c>
      <c r="B2785" t="inlineStr">
        <is>
          <t>7:56</t>
        </is>
      </c>
      <c r="C2785" t="inlineStr">
        <is>
          <t>but I speculate
these neurons drive craving</t>
        </is>
      </c>
      <c r="D2785">
        <f>HYPERLINK("https://www.youtube.com/watch?v=Fu1Zi1PYqos&amp;t=476s", "Go to time")</f>
        <v/>
      </c>
    </row>
    <row r="2786">
      <c r="A2786">
        <f>HYPERLINK("https://www.youtube.com/watch?v=Fu1Zi1PYqos", "Video")</f>
        <v/>
      </c>
      <c r="B2786" t="inlineStr">
        <is>
          <t>8:15</t>
        </is>
      </c>
      <c r="C2786" t="inlineStr">
        <is>
          <t>without altering hunger-driven feeding.</t>
        </is>
      </c>
      <c r="D2786">
        <f>HYPERLINK("https://www.youtube.com/watch?v=Fu1Zi1PYqos&amp;t=495s", "Go to time")</f>
        <v/>
      </c>
    </row>
    <row r="2787">
      <c r="A2787">
        <f>HYPERLINK("https://www.youtube.com/watch?v=IFjD3NMv6Kw", "Video")</f>
        <v/>
      </c>
      <c r="B2787" t="inlineStr">
        <is>
          <t>4:24</t>
        </is>
      </c>
      <c r="C2787" t="inlineStr">
        <is>
          <t>It's very expensive to drive that much,</t>
        </is>
      </c>
      <c r="D2787">
        <f>HYPERLINK("https://www.youtube.com/watch?v=IFjD3NMv6Kw&amp;t=264s", "Go to time")</f>
        <v/>
      </c>
    </row>
    <row r="2788">
      <c r="A2788">
        <f>HYPERLINK("https://www.youtube.com/watch?v=IFjD3NMv6Kw", "Video")</f>
        <v/>
      </c>
      <c r="B2788" t="inlineStr">
        <is>
          <t>12:47</t>
        </is>
      </c>
      <c r="C2788" t="inlineStr">
        <is>
          <t>you can drive while reading or sleeping.</t>
        </is>
      </c>
      <c r="D2788">
        <f>HYPERLINK("https://www.youtube.com/watch?v=IFjD3NMv6Kw&amp;t=767s", "Go to time")</f>
        <v/>
      </c>
    </row>
    <row r="2789">
      <c r="A2789">
        <f>HYPERLINK("https://www.youtube.com/watch?v=gJzSWacrkKo", "Video")</f>
        <v/>
      </c>
      <c r="B2789" t="inlineStr">
        <is>
          <t>1:41</t>
        </is>
      </c>
      <c r="C2789" t="inlineStr">
        <is>
          <t>It really matters,
because it drives political focus,</t>
        </is>
      </c>
      <c r="D2789">
        <f>HYPERLINK("https://www.youtube.com/watch?v=gJzSWacrkKo&amp;t=101s", "Go to time")</f>
        <v/>
      </c>
    </row>
    <row r="2790">
      <c r="A2790">
        <f>HYPERLINK("https://www.youtube.com/watch?v=gJzSWacrkKo", "Video")</f>
        <v/>
      </c>
      <c r="B2790" t="inlineStr">
        <is>
          <t>1:46</t>
        </is>
      </c>
      <c r="C2790" t="inlineStr">
        <is>
          <t>it drives public activity.</t>
        </is>
      </c>
      <c r="D2790">
        <f>HYPERLINK("https://www.youtube.com/watch?v=gJzSWacrkKo&amp;t=106s", "Go to time")</f>
        <v/>
      </c>
    </row>
    <row r="2791">
      <c r="A2791">
        <f>HYPERLINK("https://www.youtube.com/watch?v=gJzSWacrkKo", "Video")</f>
        <v/>
      </c>
      <c r="B2791" t="inlineStr">
        <is>
          <t>6:12</t>
        </is>
      </c>
      <c r="C2791" t="inlineStr">
        <is>
          <t>It drives our commitment to fair work,</t>
        </is>
      </c>
      <c r="D2791">
        <f>HYPERLINK("https://www.youtube.com/watch?v=gJzSWacrkKo&amp;t=372s", "Go to time")</f>
        <v/>
      </c>
    </row>
    <row r="2792">
      <c r="A2792">
        <f>HYPERLINK("https://www.youtube.com/watch?v=Vrui-OctNEk", "Video")</f>
        <v/>
      </c>
      <c r="B2792" t="inlineStr">
        <is>
          <t>17:51</t>
        </is>
      </c>
      <c r="C2792" t="inlineStr">
        <is>
          <t>So I hope someday
that you can drive across this nation,</t>
        </is>
      </c>
      <c r="D2792">
        <f>HYPERLINK("https://www.youtube.com/watch?v=Vrui-OctNEk&amp;t=1071s", "Go to time")</f>
        <v/>
      </c>
    </row>
    <row r="2793">
      <c r="A2793">
        <f>HYPERLINK("https://www.youtube.com/watch?v=Doqr0HdMXOI", "Video")</f>
        <v/>
      </c>
      <c r="B2793" t="inlineStr">
        <is>
          <t>9:44</t>
        </is>
      </c>
      <c r="C2793" t="inlineStr">
        <is>
          <t>Or was this preference simply driven
by what others around you valued?</t>
        </is>
      </c>
      <c r="D2793">
        <f>HYPERLINK("https://www.youtube.com/watch?v=Doqr0HdMXOI&amp;t=584s", "Go to time")</f>
        <v/>
      </c>
    </row>
    <row r="2794">
      <c r="A2794">
        <f>HYPERLINK("https://www.youtube.com/watch?v=OhCzX0iLnOc", "Video")</f>
        <v/>
      </c>
      <c r="B2794" t="inlineStr">
        <is>
          <t>8:01</t>
        </is>
      </c>
      <c r="C2794" t="inlineStr">
        <is>
          <t>and therefore, safe to drive underneath.</t>
        </is>
      </c>
      <c r="D2794">
        <f>HYPERLINK("https://www.youtube.com/watch?v=OhCzX0iLnOc&amp;t=481s", "Go to time")</f>
        <v/>
      </c>
    </row>
    <row r="2795">
      <c r="A2795">
        <f>HYPERLINK("https://www.youtube.com/watch?v=hHYe3O7_TUA", "Video")</f>
        <v/>
      </c>
      <c r="B2795" t="inlineStr">
        <is>
          <t>0:18</t>
        </is>
      </c>
      <c r="C2795" t="inlineStr">
        <is>
          <t>“People are driven
by misery to revolution.”</t>
        </is>
      </c>
      <c r="D2795">
        <f>HYPERLINK("https://www.youtube.com/watch?v=hHYe3O7_TUA&amp;t=18s", "Go to time")</f>
        <v/>
      </c>
    </row>
    <row r="2796">
      <c r="A2796">
        <f>HYPERLINK("https://www.youtube.com/watch?v=hHYe3O7_TUA", "Video")</f>
        <v/>
      </c>
      <c r="B2796" t="inlineStr">
        <is>
          <t>14:08</t>
        </is>
      </c>
      <c r="C2796" t="inlineStr">
        <is>
          <t>drives people to sue the perpetrators
of sexual corruption to court.</t>
        </is>
      </c>
      <c r="D2796">
        <f>HYPERLINK("https://www.youtube.com/watch?v=hHYe3O7_TUA&amp;t=848s", "Go to time")</f>
        <v/>
      </c>
    </row>
    <row r="2797">
      <c r="A2797">
        <f>HYPERLINK("https://www.youtube.com/watch?v=sVtIuDKFO1c", "Video")</f>
        <v/>
      </c>
      <c r="B2797" t="inlineStr">
        <is>
          <t>2:41</t>
        </is>
      </c>
      <c r="C2797" t="inlineStr">
        <is>
          <t>So much of our education reform
is driven by a sympathetic approach,</t>
        </is>
      </c>
      <c r="D2797">
        <f>HYPERLINK("https://www.youtube.com/watch?v=sVtIuDKFO1c&amp;t=161s", "Go to time")</f>
        <v/>
      </c>
    </row>
    <row r="2798">
      <c r="A2798">
        <f>HYPERLINK("https://www.youtube.com/watch?v=DVO0KOHA614", "Video")</f>
        <v/>
      </c>
      <c r="B2798" t="inlineStr">
        <is>
          <t>2:16</t>
        </is>
      </c>
      <c r="C2798" t="inlineStr">
        <is>
          <t>one of McLaren’s Formula 1 drivers.</t>
        </is>
      </c>
      <c r="D2798">
        <f>HYPERLINK("https://www.youtube.com/watch?v=DVO0KOHA614&amp;t=136s", "Go to time")</f>
        <v/>
      </c>
    </row>
    <row r="2799">
      <c r="A2799">
        <f>HYPERLINK("https://www.youtube.com/watch?v=DVO0KOHA614", "Video")</f>
        <v/>
      </c>
      <c r="B2799" t="inlineStr">
        <is>
          <t>2:58</t>
        </is>
      </c>
      <c r="C2799" t="inlineStr">
        <is>
          <t>let alone be one of those
drivers on the grid.</t>
        </is>
      </c>
      <c r="D2799">
        <f>HYPERLINK("https://www.youtube.com/watch?v=DVO0KOHA614&amp;t=178s", "Go to time")</f>
        <v/>
      </c>
    </row>
    <row r="2800">
      <c r="A2800">
        <f>HYPERLINK("https://www.youtube.com/watch?v=DVO0KOHA614", "Video")</f>
        <v/>
      </c>
      <c r="B2800" t="inlineStr">
        <is>
          <t>3:01</t>
        </is>
      </c>
      <c r="C2800" t="inlineStr">
        <is>
          <t>And that’s because in Formula 1,
there are only 20 professional drivers.</t>
        </is>
      </c>
      <c r="D2800">
        <f>HYPERLINK("https://www.youtube.com/watch?v=DVO0KOHA614&amp;t=181s", "Go to time")</f>
        <v/>
      </c>
    </row>
    <row r="2801">
      <c r="A2801">
        <f>HYPERLINK("https://www.youtube.com/watch?v=DVO0KOHA614", "Video")</f>
        <v/>
      </c>
      <c r="B2801" t="inlineStr">
        <is>
          <t>3:06</t>
        </is>
      </c>
      <c r="C2801" t="inlineStr">
        <is>
          <t>There are ten teams
with two drivers per team.</t>
        </is>
      </c>
      <c r="D2801">
        <f>HYPERLINK("https://www.youtube.com/watch?v=DVO0KOHA614&amp;t=186s", "Go to time")</f>
        <v/>
      </c>
    </row>
    <row r="2802">
      <c r="A2802">
        <f>HYPERLINK("https://www.youtube.com/watch?v=DVO0KOHA614", "Video")</f>
        <v/>
      </c>
      <c r="B2802" t="inlineStr">
        <is>
          <t>3:44</t>
        </is>
      </c>
      <c r="C2802" t="inlineStr">
        <is>
          <t>of becoming a professional
Formula 1 driver.</t>
        </is>
      </c>
      <c r="D2802">
        <f>HYPERLINK("https://www.youtube.com/watch?v=DVO0KOHA614&amp;t=224s", "Go to time")</f>
        <v/>
      </c>
    </row>
    <row r="2803">
      <c r="A2803">
        <f>HYPERLINK("https://www.youtube.com/watch?v=DVO0KOHA614", "Video")</f>
        <v/>
      </c>
      <c r="B2803" t="inlineStr">
        <is>
          <t>6:18</t>
        </is>
      </c>
      <c r="C2803" t="inlineStr">
        <is>
          <t>one of those drivers,
talking about gaming.</t>
        </is>
      </c>
      <c r="D2803">
        <f>HYPERLINK("https://www.youtube.com/watch?v=DVO0KOHA614&amp;t=378s", "Go to time")</f>
        <v/>
      </c>
    </row>
    <row r="2804">
      <c r="A2804">
        <f>HYPERLINK("https://www.youtube.com/watch?v=DVO0KOHA614", "Video")</f>
        <v/>
      </c>
      <c r="B2804" t="inlineStr">
        <is>
          <t>6:40</t>
        </is>
      </c>
      <c r="C2804" t="inlineStr">
        <is>
          <t>where he drives in both the physical
world and the digital world</t>
        </is>
      </c>
      <c r="D2804">
        <f>HYPERLINK("https://www.youtube.com/watch?v=DVO0KOHA614&amp;t=400s", "Go to time")</f>
        <v/>
      </c>
    </row>
    <row r="2805">
      <c r="A2805">
        <f>HYPERLINK("https://www.youtube.com/watch?v=j4QlG5jKpio", "Video")</f>
        <v/>
      </c>
      <c r="B2805" t="inlineStr">
        <is>
          <t>3:16</t>
        </is>
      </c>
      <c r="C2805" t="inlineStr">
        <is>
          <t>Both mission and vision
are important corporate drivers,</t>
        </is>
      </c>
      <c r="D2805">
        <f>HYPERLINK("https://www.youtube.com/watch?v=j4QlG5jKpio&amp;t=196s", "Go to time")</f>
        <v/>
      </c>
    </row>
    <row r="2806">
      <c r="A2806">
        <f>HYPERLINK("https://www.youtube.com/watch?v=j4QlG5jKpio", "Video")</f>
        <v/>
      </c>
      <c r="B2806" t="inlineStr">
        <is>
          <t>7:36</t>
        </is>
      </c>
      <c r="C2806" t="inlineStr">
        <is>
          <t>with purpose-driven
expectations and guardrails,</t>
        </is>
      </c>
      <c r="D2806">
        <f>HYPERLINK("https://www.youtube.com/watch?v=j4QlG5jKpio&amp;t=456s", "Go to time")</f>
        <v/>
      </c>
    </row>
    <row r="2807">
      <c r="A2807">
        <f>HYPERLINK("https://www.youtube.com/watch?v=F3mzS32SH2Q", "Video")</f>
        <v/>
      </c>
      <c r="B2807" t="inlineStr">
        <is>
          <t>1:20</t>
        </is>
      </c>
      <c r="C2807" t="inlineStr">
        <is>
          <t>or even drive cars down
our treacherous, chaotic roads.</t>
        </is>
      </c>
      <c r="D2807">
        <f>HYPERLINK("https://www.youtube.com/watch?v=F3mzS32SH2Q&amp;t=80s", "Go to time")</f>
        <v/>
      </c>
    </row>
    <row r="2808">
      <c r="A2808">
        <f>HYPERLINK("https://www.youtube.com/watch?v=YkYdxjaqt58", "Video")</f>
        <v/>
      </c>
      <c r="B2808" t="inlineStr">
        <is>
          <t>8:26</t>
        </is>
      </c>
      <c r="C2808" t="inlineStr">
        <is>
          <t>that's what drives the skin conductance --</t>
        </is>
      </c>
      <c r="D2808">
        <f>HYPERLINK("https://www.youtube.com/watch?v=YkYdxjaqt58&amp;t=506s", "Go to time")</f>
        <v/>
      </c>
    </row>
    <row r="2809">
      <c r="A2809">
        <f>HYPERLINK("https://www.youtube.com/watch?v=sFIDCtRX_-o", "Video")</f>
        <v/>
      </c>
      <c r="B2809" t="inlineStr">
        <is>
          <t>5:30</t>
        </is>
      </c>
      <c r="C2809" t="inlineStr">
        <is>
          <t>but stories of human beings
were the drive.</t>
        </is>
      </c>
      <c r="D2809">
        <f>HYPERLINK("https://www.youtube.com/watch?v=sFIDCtRX_-o&amp;t=330s", "Go to time")</f>
        <v/>
      </c>
    </row>
    <row r="2810">
      <c r="A2810">
        <f>HYPERLINK("https://www.youtube.com/watch?v=5m9AYbFqpQo", "Video")</f>
        <v/>
      </c>
      <c r="B2810" t="inlineStr">
        <is>
          <t>34:14</t>
        </is>
      </c>
      <c r="C2810" t="inlineStr">
        <is>
          <t>and nature-driven things</t>
        </is>
      </c>
      <c r="D2810">
        <f>HYPERLINK("https://www.youtube.com/watch?v=5m9AYbFqpQo&amp;t=2054s", "Go to time")</f>
        <v/>
      </c>
    </row>
    <row r="2811">
      <c r="A2811">
        <f>HYPERLINK("https://www.youtube.com/watch?v=YY6LCOJbve8", "Video")</f>
        <v/>
      </c>
      <c r="B2811" t="inlineStr">
        <is>
          <t>24:40</t>
        </is>
      </c>
      <c r="C2811" t="inlineStr">
        <is>
          <t>which is where climate change
will inevitably drive most of us.</t>
        </is>
      </c>
      <c r="D2811">
        <f>HYPERLINK("https://www.youtube.com/watch?v=YY6LCOJbve8&amp;t=1480s", "Go to time")</f>
        <v/>
      </c>
    </row>
    <row r="2812">
      <c r="A2812">
        <f>HYPERLINK("https://www.youtube.com/watch?v=YY6LCOJbve8", "Video")</f>
        <v/>
      </c>
      <c r="B2812" t="inlineStr">
        <is>
          <t>24:49</t>
        </is>
      </c>
      <c r="C2812" t="inlineStr">
        <is>
          <t>but it will eventually
drive all of us into this space</t>
        </is>
      </c>
      <c r="D2812">
        <f>HYPERLINK("https://www.youtube.com/watch?v=YY6LCOJbve8&amp;t=1489s", "Go to time")</f>
        <v/>
      </c>
    </row>
    <row r="2813">
      <c r="A2813">
        <f>HYPERLINK("https://www.youtube.com/watch?v=XewnyUJgyA4", "Video")</f>
        <v/>
      </c>
      <c r="B2813" t="inlineStr">
        <is>
          <t>9:21</t>
        </is>
      </c>
      <c r="C2813" t="inlineStr">
        <is>
          <t>Behind this speed in execution
is a purpose-driven leader</t>
        </is>
      </c>
      <c r="D2813">
        <f>HYPERLINK("https://www.youtube.com/watch?v=XewnyUJgyA4&amp;t=561s", "Go to time")</f>
        <v/>
      </c>
    </row>
    <row r="2814">
      <c r="A2814">
        <f>HYPERLINK("https://www.youtube.com/watch?v=XewnyUJgyA4", "Video")</f>
        <v/>
      </c>
      <c r="B2814" t="inlineStr">
        <is>
          <t>10:16</t>
        </is>
      </c>
      <c r="C2814" t="inlineStr">
        <is>
          <t>including driverless cars, robots,</t>
        </is>
      </c>
      <c r="D2814">
        <f>HYPERLINK("https://www.youtube.com/watch?v=XewnyUJgyA4&amp;t=616s", "Go to time")</f>
        <v/>
      </c>
    </row>
    <row r="2815">
      <c r="A2815">
        <f>HYPERLINK("https://www.youtube.com/watch?v=XewnyUJgyA4", "Video")</f>
        <v/>
      </c>
      <c r="B2815" t="inlineStr">
        <is>
          <t>14:45</t>
        </is>
      </c>
      <c r="C2815" t="inlineStr">
        <is>
          <t>Are Americans and Chinese going to let
the forces of history drive us to a war</t>
        </is>
      </c>
      <c r="D2815">
        <f>HYPERLINK("https://www.youtube.com/watch?v=XewnyUJgyA4&amp;t=885s", "Go to time")</f>
        <v/>
      </c>
    </row>
    <row r="2816">
      <c r="A2816">
        <f>HYPERLINK("https://www.youtube.com/watch?v=5jnPjkdBlUE", "Video")</f>
        <v/>
      </c>
      <c r="B2816" t="inlineStr">
        <is>
          <t>5:55</t>
        </is>
      </c>
      <c r="C2816" t="inlineStr">
        <is>
          <t>often driven by hypomania,</t>
        </is>
      </c>
      <c r="D2816">
        <f>HYPERLINK("https://www.youtube.com/watch?v=5jnPjkdBlUE&amp;t=355s", "Go to time")</f>
        <v/>
      </c>
    </row>
    <row r="2817">
      <c r="A2817">
        <f>HYPERLINK("https://www.youtube.com/watch?v=rVNb53lkBuc", "Video")</f>
        <v/>
      </c>
      <c r="B2817" t="inlineStr">
        <is>
          <t>11:10</t>
        </is>
      </c>
      <c r="C2817" t="inlineStr">
        <is>
          <t>they speak to black drivers
less respectfully than white drivers.</t>
        </is>
      </c>
      <c r="D2817">
        <f>HYPERLINK("https://www.youtube.com/watch?v=rVNb53lkBuc&amp;t=670s", "Go to time")</f>
        <v/>
      </c>
    </row>
    <row r="2818">
      <c r="A2818">
        <f>HYPERLINK("https://www.youtube.com/watch?v=rVNb53lkBuc", "Video")</f>
        <v/>
      </c>
      <c r="B2818" t="inlineStr">
        <is>
          <t>11:20</t>
        </is>
      </c>
      <c r="C2818" t="inlineStr">
        <is>
          <t>we could predict whether they were talking
to a black driver or a white driver.</t>
        </is>
      </c>
      <c r="D2818">
        <f>HYPERLINK("https://www.youtube.com/watch?v=rVNb53lkBuc&amp;t=680s", "Go to time")</f>
        <v/>
      </c>
    </row>
    <row r="2819">
      <c r="A2819">
        <f>HYPERLINK("https://www.youtube.com/watch?v=JNG3wwLqRok", "Video")</f>
        <v/>
      </c>
      <c r="B2819" t="inlineStr">
        <is>
          <t>35:27</t>
        </is>
      </c>
      <c r="C2819" t="inlineStr">
        <is>
          <t>their hard drives and I would download</t>
        </is>
      </c>
      <c r="D2819">
        <f>HYPERLINK("https://www.youtube.com/watch?v=JNG3wwLqRok&amp;t=2127s", "Go to time")</f>
        <v/>
      </c>
    </row>
    <row r="2820">
      <c r="A2820">
        <f>HYPERLINK("https://www.youtube.com/watch?v=JNG3wwLqRok", "Video")</f>
        <v/>
      </c>
      <c r="B2820" t="inlineStr">
        <is>
          <t>63:38</t>
        </is>
      </c>
      <c r="C2820" t="inlineStr">
        <is>
          <t>passenger seat she's a backseat driver</t>
        </is>
      </c>
      <c r="D2820">
        <f>HYPERLINK("https://www.youtube.com/watch?v=JNG3wwLqRok&amp;t=3818s", "Go to time")</f>
        <v/>
      </c>
    </row>
    <row r="2821">
      <c r="A2821">
        <f>HYPERLINK("https://www.youtube.com/watch?v=JNG3wwLqRok", "Video")</f>
        <v/>
      </c>
      <c r="B2821" t="inlineStr">
        <is>
          <t>74:28</t>
        </is>
      </c>
      <c r="C2821" t="inlineStr">
        <is>
          <t>see more than ever why a future driven</t>
        </is>
      </c>
      <c r="D2821">
        <f>HYPERLINK("https://www.youtube.com/watch?v=JNG3wwLqRok&amp;t=4468s", "Go to time")</f>
        <v/>
      </c>
    </row>
    <row r="2822">
      <c r="A2822">
        <f>HYPERLINK("https://www.youtube.com/watch?v=JNG3wwLqRok", "Video")</f>
        <v/>
      </c>
      <c r="B2822" t="inlineStr">
        <is>
          <t>83:34</t>
        </is>
      </c>
      <c r="C2822" t="inlineStr">
        <is>
          <t>hard drives and then build a virtual</t>
        </is>
      </c>
      <c r="D2822">
        <f>HYPERLINK("https://www.youtube.com/watch?v=JNG3wwLqRok&amp;t=5014s", "Go to time")</f>
        <v/>
      </c>
    </row>
    <row r="2823">
      <c r="A2823">
        <f>HYPERLINK("https://www.youtube.com/watch?v=JKS7HWy2TRU", "Video")</f>
        <v/>
      </c>
      <c r="B2823" t="inlineStr">
        <is>
          <t>2:51</t>
        </is>
      </c>
      <c r="C2823" t="inlineStr">
        <is>
          <t>they've been driven
by my barometer of anger.</t>
        </is>
      </c>
      <c r="D2823">
        <f>HYPERLINK("https://www.youtube.com/watch?v=JKS7HWy2TRU&amp;t=171s", "Go to time")</f>
        <v/>
      </c>
    </row>
    <row r="2824">
      <c r="A2824">
        <f>HYPERLINK("https://www.youtube.com/watch?v=qjGmzBp2fFk", "Video")</f>
        <v/>
      </c>
      <c r="B2824" t="inlineStr">
        <is>
          <t>3:32</t>
        </is>
      </c>
      <c r="C2824" t="inlineStr">
        <is>
          <t>In my work, we have found
four key drivers:</t>
        </is>
      </c>
      <c r="D2824">
        <f>HYPERLINK("https://www.youtube.com/watch?v=qjGmzBp2fFk&amp;t=212s", "Go to time")</f>
        <v/>
      </c>
    </row>
    <row r="2825">
      <c r="A2825">
        <f>HYPERLINK("https://www.youtube.com/watch?v=YsA_JTeHJ6A", "Video")</f>
        <v/>
      </c>
      <c r="B2825" t="inlineStr">
        <is>
          <t>10:28</t>
        </is>
      </c>
      <c r="C2825" t="inlineStr">
        <is>
          <t>and drive around
the five boroughs of New York</t>
        </is>
      </c>
      <c r="D2825">
        <f>HYPERLINK("https://www.youtube.com/watch?v=YsA_JTeHJ6A&amp;t=628s", "Go to time")</f>
        <v/>
      </c>
    </row>
    <row r="2826">
      <c r="A2826">
        <f>HYPERLINK("https://www.youtube.com/watch?v=Qewckuxa9hw", "Video")</f>
        <v/>
      </c>
      <c r="B2826" t="inlineStr">
        <is>
          <t>8:32</t>
        </is>
      </c>
      <c r="C2826" t="inlineStr">
        <is>
          <t>from the harsh ethic of success
that drives us apart.</t>
        </is>
      </c>
      <c r="D2826">
        <f>HYPERLINK("https://www.youtube.com/watch?v=Qewckuxa9hw&amp;t=512s", "Go to time")</f>
        <v/>
      </c>
    </row>
    <row r="2827">
      <c r="A2827">
        <f>HYPERLINK("https://www.youtube.com/watch?v=B6lBtiQZSho", "Video")</f>
        <v/>
      </c>
      <c r="B2827" t="inlineStr">
        <is>
          <t>12:01</t>
        </is>
      </c>
      <c r="C2827" t="inlineStr">
        <is>
          <t>In fact, I think in the well-meaning
drive for a head start,</t>
        </is>
      </c>
      <c r="D2827">
        <f>HYPERLINK("https://www.youtube.com/watch?v=B6lBtiQZSho&amp;t=721s", "Go to time")</f>
        <v/>
      </c>
    </row>
    <row r="2828">
      <c r="A2828">
        <f>HYPERLINK("https://www.youtube.com/watch?v=sLapoMlHOeY", "Video")</f>
        <v/>
      </c>
      <c r="B2828" t="inlineStr">
        <is>
          <t>3:03</t>
        </is>
      </c>
      <c r="C2828" t="inlineStr">
        <is>
          <t>who might have driven them.</t>
        </is>
      </c>
      <c r="D2828">
        <f>HYPERLINK("https://www.youtube.com/watch?v=sLapoMlHOeY&amp;t=183s", "Go to time")</f>
        <v/>
      </c>
    </row>
    <row r="2829">
      <c r="A2829">
        <f>HYPERLINK("https://www.youtube.com/watch?v=zsLz0mRmEG0", "Video")</f>
        <v/>
      </c>
      <c r="B2829" t="inlineStr">
        <is>
          <t>8:48</t>
        </is>
      </c>
      <c r="C2829" t="inlineStr">
        <is>
          <t>And this is kind of what has driven me
forward with these pieces,</t>
        </is>
      </c>
      <c r="D2829">
        <f>HYPERLINK("https://www.youtube.com/watch?v=zsLz0mRmEG0&amp;t=528s", "Go to time")</f>
        <v/>
      </c>
    </row>
    <row r="2830">
      <c r="A2830">
        <f>HYPERLINK("https://www.youtube.com/watch?v=9ICjwQ_lJ8Y", "Video")</f>
        <v/>
      </c>
      <c r="B2830" t="inlineStr">
        <is>
          <t>6:57</t>
        </is>
      </c>
      <c r="C2830" t="inlineStr">
        <is>
          <t>An HR-driven campaign is insufficient.</t>
        </is>
      </c>
      <c r="D2830">
        <f>HYPERLINK("https://www.youtube.com/watch?v=9ICjwQ_lJ8Y&amp;t=417s", "Go to time")</f>
        <v/>
      </c>
    </row>
    <row r="2831">
      <c r="A2831">
        <f>HYPERLINK("https://www.youtube.com/watch?v=NP8xt8o4_5Q", "Video")</f>
        <v/>
      </c>
      <c r="B2831" t="inlineStr">
        <is>
          <t>5:10</t>
        </is>
      </c>
      <c r="C2831" t="inlineStr">
        <is>
          <t>machines will be taxi drivers</t>
        </is>
      </c>
      <c r="D2831">
        <f>HYPERLINK("https://www.youtube.com/watch?v=NP8xt8o4_5Q&amp;t=310s", "Go to time")</f>
        <v/>
      </c>
    </row>
    <row r="2832">
      <c r="A2832">
        <f>HYPERLINK("https://www.youtube.com/watch?v=NP8xt8o4_5Q", "Video")</f>
        <v/>
      </c>
      <c r="B2832" t="inlineStr">
        <is>
          <t>6:35</t>
        </is>
      </c>
      <c r="C2832" t="inlineStr">
        <is>
          <t>the first time you ride
in a driverless car</t>
        </is>
      </c>
      <c r="D2832">
        <f>HYPERLINK("https://www.youtube.com/watch?v=NP8xt8o4_5Q&amp;t=395s", "Go to time")</f>
        <v/>
      </c>
    </row>
    <row r="2833">
      <c r="A2833">
        <f>HYPERLINK("https://www.youtube.com/watch?v=VFRzeYCk8MI", "Video")</f>
        <v/>
      </c>
      <c r="B2833" t="inlineStr">
        <is>
          <t>3:31</t>
        </is>
      </c>
      <c r="C2833" t="inlineStr">
        <is>
          <t>may be the single biggest driver
of new animal-borne diseases.</t>
        </is>
      </c>
      <c r="D2833">
        <f>HYPERLINK("https://www.youtube.com/watch?v=VFRzeYCk8MI&amp;t=211s", "Go to time")</f>
        <v/>
      </c>
    </row>
    <row r="2834">
      <c r="A2834">
        <f>HYPERLINK("https://www.youtube.com/watch?v=ZK7ih4V0erc", "Video")</f>
        <v/>
      </c>
      <c r="B2834" t="inlineStr">
        <is>
          <t>0:38</t>
        </is>
      </c>
      <c r="C2834" t="inlineStr">
        <is>
          <t>"As memory may be a paradise
from which we cannot be driven,</t>
        </is>
      </c>
      <c r="D2834">
        <f>HYPERLINK("https://www.youtube.com/watch?v=ZK7ih4V0erc&amp;t=38s", "Go to time")</f>
        <v/>
      </c>
    </row>
    <row r="2835">
      <c r="A2835">
        <f>HYPERLINK("https://www.youtube.com/watch?v=gJjLdnycuyU", "Video")</f>
        <v/>
      </c>
      <c r="B2835" t="inlineStr">
        <is>
          <t>6:18</t>
        </is>
      </c>
      <c r="C2835" t="inlineStr">
        <is>
          <t>So he picked a couple of outsiders
to drive a shake-up.</t>
        </is>
      </c>
      <c r="D2835">
        <f>HYPERLINK("https://www.youtube.com/watch?v=gJjLdnycuyU&amp;t=378s", "Go to time")</f>
        <v/>
      </c>
    </row>
    <row r="2836">
      <c r="A2836">
        <f>HYPERLINK("https://www.youtube.com/watch?v=gJjLdnycuyU", "Video")</f>
        <v/>
      </c>
      <c r="B2836" t="inlineStr">
        <is>
          <t>26:19</t>
        </is>
      </c>
      <c r="C2836" t="inlineStr">
        <is>
          <t>The underdogs were driven to show
they had been misjudged,</t>
        </is>
      </c>
      <c r="D2836">
        <f>HYPERLINK("https://www.youtube.com/watch?v=gJjLdnycuyU&amp;t=1579s", "Go to time")</f>
        <v/>
      </c>
    </row>
    <row r="2837">
      <c r="A2837">
        <f>HYPERLINK("https://www.youtube.com/watch?v=E3Yo7PULlPs", "Video")</f>
        <v/>
      </c>
      <c r="B2837" t="inlineStr">
        <is>
          <t>2:27</t>
        </is>
      </c>
      <c r="C2837" t="inlineStr">
        <is>
          <t>This is artist-driven innovation.</t>
        </is>
      </c>
      <c r="D2837">
        <f>HYPERLINK("https://www.youtube.com/watch?v=E3Yo7PULlPs&amp;t=147s", "Go to time")</f>
        <v/>
      </c>
    </row>
    <row r="2838">
      <c r="A2838">
        <f>HYPERLINK("https://www.youtube.com/watch?v=E3Yo7PULlPs", "Video")</f>
        <v/>
      </c>
      <c r="B2838" t="inlineStr">
        <is>
          <t>6:41</t>
        </is>
      </c>
      <c r="C2838" t="inlineStr">
        <is>
          <t>to drive even the brand new techniques.</t>
        </is>
      </c>
      <c r="D2838">
        <f>HYPERLINK("https://www.youtube.com/watch?v=E3Yo7PULlPs&amp;t=401s", "Go to time")</f>
        <v/>
      </c>
    </row>
    <row r="2839">
      <c r="A2839">
        <f>HYPERLINK("https://www.youtube.com/watch?v=E3Yo7PULlPs", "Video")</f>
        <v/>
      </c>
      <c r="B2839" t="inlineStr">
        <is>
          <t>7:17</t>
        </is>
      </c>
      <c r="C2839" t="inlineStr">
        <is>
          <t>This was another creative
innovation driven by a filmmaker.</t>
        </is>
      </c>
      <c r="D2839">
        <f>HYPERLINK("https://www.youtube.com/watch?v=E3Yo7PULlPs&amp;t=437s", "Go to time")</f>
        <v/>
      </c>
    </row>
    <row r="2840">
      <c r="A2840">
        <f>HYPERLINK("https://www.youtube.com/watch?v=E3Yo7PULlPs", "Video")</f>
        <v/>
      </c>
      <c r="B2840" t="inlineStr">
        <is>
          <t>10:24</t>
        </is>
      </c>
      <c r="C2840" t="inlineStr">
        <is>
          <t>our theme about artist-driven innovation.</t>
        </is>
      </c>
      <c r="D2840">
        <f>HYPERLINK("https://www.youtube.com/watch?v=E3Yo7PULlPs&amp;t=624s", "Go to time")</f>
        <v/>
      </c>
    </row>
    <row r="2841">
      <c r="A2841">
        <f>HYPERLINK("https://www.youtube.com/watch?v=E3Yo7PULlPs", "Video")</f>
        <v/>
      </c>
      <c r="B2841" t="inlineStr">
        <is>
          <t>14:13</t>
        </is>
      </c>
      <c r="C2841" t="inlineStr">
        <is>
          <t>So that's artist-driven innovation.</t>
        </is>
      </c>
      <c r="D2841">
        <f>HYPERLINK("https://www.youtube.com/watch?v=E3Yo7PULlPs&amp;t=853s", "Go to time")</f>
        <v/>
      </c>
    </row>
    <row r="2842">
      <c r="A2842">
        <f>HYPERLINK("https://www.youtube.com/watch?v=zY2ksORCLbs", "Video")</f>
        <v/>
      </c>
      <c r="B2842" t="inlineStr">
        <is>
          <t>5:16</t>
        </is>
      </c>
      <c r="C2842" t="inlineStr">
        <is>
          <t>the main driver of global warming
is human action:</t>
        </is>
      </c>
      <c r="D2842">
        <f>HYPERLINK("https://www.youtube.com/watch?v=zY2ksORCLbs&amp;t=316s", "Go to time")</f>
        <v/>
      </c>
    </row>
    <row r="2843">
      <c r="A2843">
        <f>HYPERLINK("https://www.youtube.com/watch?v=hktbamn2jX4", "Video")</f>
        <v/>
      </c>
      <c r="B2843" t="inlineStr">
        <is>
          <t>11:44</t>
        </is>
      </c>
      <c r="C2843" t="inlineStr">
        <is>
          <t>The Sun is not a driver
in Earth's current changing climate.</t>
        </is>
      </c>
      <c r="D2843">
        <f>HYPERLINK("https://www.youtube.com/watch?v=hktbamn2jX4&amp;t=704s", "Go to time")</f>
        <v/>
      </c>
    </row>
    <row r="2844">
      <c r="A2844">
        <f>HYPERLINK("https://www.youtube.com/watch?v=G8RxjxdUulE", "Video")</f>
        <v/>
      </c>
      <c r="B2844" t="inlineStr">
        <is>
          <t>4:32</t>
        </is>
      </c>
      <c r="C2844" t="inlineStr">
        <is>
          <t>that's what drives it.</t>
        </is>
      </c>
      <c r="D2844">
        <f>HYPERLINK("https://www.youtube.com/watch?v=G8RxjxdUulE&amp;t=272s", "Go to time")</f>
        <v/>
      </c>
    </row>
    <row r="2845">
      <c r="A2845">
        <f>HYPERLINK("https://www.youtube.com/watch?v=OzA6jRYjVQs", "Video")</f>
        <v/>
      </c>
      <c r="B2845" t="inlineStr">
        <is>
          <t>10:43</t>
        </is>
      </c>
      <c r="C2845" t="inlineStr">
        <is>
          <t>This will be driven both by the fact</t>
        </is>
      </c>
      <c r="D2845">
        <f>HYPERLINK("https://www.youtube.com/watch?v=OzA6jRYjVQs&amp;t=643s", "Go to time")</f>
        <v/>
      </c>
    </row>
    <row r="2846">
      <c r="A2846">
        <f>HYPERLINK("https://www.youtube.com/watch?v=OzA6jRYjVQs", "Video")</f>
        <v/>
      </c>
      <c r="B2846" t="inlineStr">
        <is>
          <t>10:50</t>
        </is>
      </c>
      <c r="C2846" t="inlineStr">
        <is>
          <t>It will be driven by both.</t>
        </is>
      </c>
      <c r="D2846">
        <f>HYPERLINK("https://www.youtube.com/watch?v=OzA6jRYjVQs&amp;t=650s", "Go to time")</f>
        <v/>
      </c>
    </row>
    <row r="2847">
      <c r="A2847">
        <f>HYPERLINK("https://www.youtube.com/watch?v=OzA6jRYjVQs", "Video")</f>
        <v/>
      </c>
      <c r="B2847" t="inlineStr">
        <is>
          <t>11:08</t>
        </is>
      </c>
      <c r="C2847" t="inlineStr">
        <is>
          <t>again driven by population growth
and economic growth.</t>
        </is>
      </c>
      <c r="D2847">
        <f>HYPERLINK("https://www.youtube.com/watch?v=OzA6jRYjVQs&amp;t=668s", "Go to time")</f>
        <v/>
      </c>
    </row>
    <row r="2848">
      <c r="A2848">
        <f>HYPERLINK("https://www.youtube.com/watch?v=PsFlp3u74mI", "Video")</f>
        <v/>
      </c>
      <c r="B2848" t="inlineStr">
        <is>
          <t>1:54</t>
        </is>
      </c>
      <c r="C2848" t="inlineStr">
        <is>
          <t>the sooner they will drive
to those results.</t>
        </is>
      </c>
      <c r="D2848">
        <f>HYPERLINK("https://www.youtube.com/watch?v=PsFlp3u74mI&amp;t=114s", "Go to time")</f>
        <v/>
      </c>
    </row>
    <row r="2849">
      <c r="A2849">
        <f>HYPERLINK("https://www.youtube.com/watch?v=_cPj3b9BDPI", "Video")</f>
        <v/>
      </c>
      <c r="B2849" t="inlineStr">
        <is>
          <t>39:56</t>
        </is>
      </c>
      <c r="C2849" t="inlineStr">
        <is>
          <t>to coordinate immigration policy
driven by Ursula von der Leyen,</t>
        </is>
      </c>
      <c r="D2849">
        <f>HYPERLINK("https://www.youtube.com/watch?v=_cPj3b9BDPI&amp;t=2396s", "Go to time")</f>
        <v/>
      </c>
    </row>
    <row r="2850">
      <c r="A2850">
        <f>HYPERLINK("https://www.youtube.com/watch?v=_cPj3b9BDPI", "Video")</f>
        <v/>
      </c>
      <c r="B2850" t="inlineStr">
        <is>
          <t>46:13</t>
        </is>
      </c>
      <c r="C2850" t="inlineStr">
        <is>
          <t>and that are being driven
by a profit motive</t>
        </is>
      </c>
      <c r="D2850">
        <f>HYPERLINK("https://www.youtube.com/watch?v=_cPj3b9BDPI&amp;t=2773s", "Go to time")</f>
        <v/>
      </c>
    </row>
    <row r="2851">
      <c r="A2851">
        <f>HYPERLINK("https://www.youtube.com/watch?v=_cPj3b9BDPI", "Video")</f>
        <v/>
      </c>
      <c r="B2851" t="inlineStr">
        <is>
          <t>48:19</t>
        </is>
      </c>
      <c r="C2851" t="inlineStr">
        <is>
          <t>It has to be promoted by a human being
who knows it's AI-driven content.</t>
        </is>
      </c>
      <c r="D2851">
        <f>HYPERLINK("https://www.youtube.com/watch?v=_cPj3b9BDPI&amp;t=2899s", "Go to time")</f>
        <v/>
      </c>
    </row>
    <row r="2852">
      <c r="A2852">
        <f>HYPERLINK("https://www.youtube.com/watch?v=gN2DWyJTUnY", "Video")</f>
        <v/>
      </c>
      <c r="B2852" t="inlineStr">
        <is>
          <t>2:29</t>
        </is>
      </c>
      <c r="C2852" t="inlineStr">
        <is>
          <t>And the wind then drives the sail
forward through the water.</t>
        </is>
      </c>
      <c r="D2852">
        <f>HYPERLINK("https://www.youtube.com/watch?v=gN2DWyJTUnY&amp;t=149s", "Go to time")</f>
        <v/>
      </c>
    </row>
    <row r="2853">
      <c r="A2853">
        <f>HYPERLINK("https://www.youtube.com/watch?v=NkYk36wpk-4", "Video")</f>
        <v/>
      </c>
      <c r="B2853" t="inlineStr">
        <is>
          <t>12:42</t>
        </is>
      </c>
      <c r="C2853" t="inlineStr">
        <is>
          <t>My mom, she could have driven
that car home routinely,</t>
        </is>
      </c>
      <c r="D2853">
        <f>HYPERLINK("https://www.youtube.com/watch?v=NkYk36wpk-4&amp;t=762s", "Go to time")</f>
        <v/>
      </c>
    </row>
    <row r="2854">
      <c r="A2854">
        <f>HYPERLINK("https://www.youtube.com/watch?v=lKsvLGdoIH8", "Video")</f>
        <v/>
      </c>
      <c r="B2854" t="inlineStr">
        <is>
          <t>0:23</t>
        </is>
      </c>
      <c r="C2854" t="inlineStr">
        <is>
          <t>So the best way
to drive and build confidence,</t>
        </is>
      </c>
      <c r="D2854">
        <f>HYPERLINK("https://www.youtube.com/watch?v=lKsvLGdoIH8&amp;t=23s", "Go to time")</f>
        <v/>
      </c>
    </row>
    <row r="2855">
      <c r="A2855">
        <f>HYPERLINK("https://www.youtube.com/watch?v=lKsvLGdoIH8", "Video")</f>
        <v/>
      </c>
      <c r="B2855" t="inlineStr">
        <is>
          <t>0:32</t>
        </is>
      </c>
      <c r="C2855" t="inlineStr">
        <is>
          <t>is to drive action.</t>
        </is>
      </c>
      <c r="D2855">
        <f>HYPERLINK("https://www.youtube.com/watch?v=lKsvLGdoIH8&amp;t=32s", "Go to time")</f>
        <v/>
      </c>
    </row>
    <row r="2856">
      <c r="A2856">
        <f>HYPERLINK("https://www.youtube.com/watch?v=lKsvLGdoIH8", "Video")</f>
        <v/>
      </c>
      <c r="B2856" t="inlineStr">
        <is>
          <t>0:46</t>
        </is>
      </c>
      <c r="C2856" t="inlineStr">
        <is>
          <t>It's reps of action that drive confidence.</t>
        </is>
      </c>
      <c r="D2856">
        <f>HYPERLINK("https://www.youtube.com/watch?v=lKsvLGdoIH8&amp;t=46s", "Go to time")</f>
        <v/>
      </c>
    </row>
    <row r="2857">
      <c r="A2857">
        <f>HYPERLINK("https://www.youtube.com/watch?v=lKsvLGdoIH8", "Video")</f>
        <v/>
      </c>
      <c r="B2857" t="inlineStr">
        <is>
          <t>1:39</t>
        </is>
      </c>
      <c r="C2857" t="inlineStr">
        <is>
          <t>So one of the tools in my toolbox
to drive action and confidence and growth</t>
        </is>
      </c>
      <c r="D2857">
        <f>HYPERLINK("https://www.youtube.com/watch?v=lKsvLGdoIH8&amp;t=99s", "Go to time")</f>
        <v/>
      </c>
    </row>
    <row r="2858">
      <c r="A2858">
        <f>HYPERLINK("https://www.youtube.com/watch?v=lKsvLGdoIH8", "Video")</f>
        <v/>
      </c>
      <c r="B2858" t="inlineStr">
        <is>
          <t>2:27</t>
        </is>
      </c>
      <c r="C2858" t="inlineStr">
        <is>
          <t>to have practices
that drive action over and over.</t>
        </is>
      </c>
      <c r="D2858">
        <f>HYPERLINK("https://www.youtube.com/watch?v=lKsvLGdoIH8&amp;t=147s", "Go to time")</f>
        <v/>
      </c>
    </row>
    <row r="2859">
      <c r="A2859">
        <f>HYPERLINK("https://www.youtube.com/watch?v=lKsvLGdoIH8", "Video")</f>
        <v/>
      </c>
      <c r="B2859" t="inlineStr">
        <is>
          <t>7:24</t>
        </is>
      </c>
      <c r="C2859" t="inlineStr">
        <is>
          <t>to drive growth,
to show up and do something</t>
        </is>
      </c>
      <c r="D2859">
        <f>HYPERLINK("https://www.youtube.com/watch?v=lKsvLGdoIH8&amp;t=444s", "Go to time")</f>
        <v/>
      </c>
    </row>
    <row r="2860">
      <c r="A2860">
        <f>HYPERLINK("https://www.youtube.com/watch?v=1g-1_Y3fvUg", "Video")</f>
        <v/>
      </c>
      <c r="B2860" t="inlineStr">
        <is>
          <t>1:34</t>
        </is>
      </c>
      <c r="C2860" t="inlineStr">
        <is>
          <t>faster than I can drive to San Francisco.</t>
        </is>
      </c>
      <c r="D2860">
        <f>HYPERLINK("https://www.youtube.com/watch?v=1g-1_Y3fvUg&amp;t=94s", "Go to time")</f>
        <v/>
      </c>
    </row>
    <row r="2861">
      <c r="A2861">
        <f>HYPERLINK("https://www.youtube.com/watch?v=1g-1_Y3fvUg", "Video")</f>
        <v/>
      </c>
      <c r="B2861" t="inlineStr">
        <is>
          <t>6:48</t>
        </is>
      </c>
      <c r="C2861" t="inlineStr">
        <is>
          <t>And so, that's why some of the features
are really driven by price.</t>
        </is>
      </c>
      <c r="D2861">
        <f>HYPERLINK("https://www.youtube.com/watch?v=1g-1_Y3fvUg&amp;t=408s", "Go to time")</f>
        <v/>
      </c>
    </row>
    <row r="2862">
      <c r="A2862">
        <f>HYPERLINK("https://www.youtube.com/watch?v=6R3HaHOhZks", "Video")</f>
        <v/>
      </c>
      <c r="B2862" t="inlineStr">
        <is>
          <t>4:17</t>
        </is>
      </c>
      <c r="C2862" t="inlineStr">
        <is>
          <t>is one of the biggest drivers
and victims of climate change?</t>
        </is>
      </c>
      <c r="D2862">
        <f>HYPERLINK("https://www.youtube.com/watch?v=6R3HaHOhZks&amp;t=257s", "Go to time")</f>
        <v/>
      </c>
    </row>
    <row r="2863">
      <c r="A2863">
        <f>HYPERLINK("https://www.youtube.com/watch?v=6R3HaHOhZks", "Video")</f>
        <v/>
      </c>
      <c r="B2863" t="inlineStr">
        <is>
          <t>10:21</t>
        </is>
      </c>
      <c r="C2863" t="inlineStr">
        <is>
          <t>you know, the business side
of mission-driven businesses.</t>
        </is>
      </c>
      <c r="D2863">
        <f>HYPERLINK("https://www.youtube.com/watch?v=6R3HaHOhZks&amp;t=621s", "Go to time")</f>
        <v/>
      </c>
    </row>
    <row r="2864">
      <c r="A2864">
        <f>HYPERLINK("https://www.youtube.com/watch?v=lO2A4g9tMJU", "Video")</f>
        <v/>
      </c>
      <c r="B2864" t="inlineStr">
        <is>
          <t>1:05</t>
        </is>
      </c>
      <c r="C2864" t="inlineStr">
        <is>
          <t>Drive less, eat less meat, shop less.</t>
        </is>
      </c>
      <c r="D2864">
        <f>HYPERLINK("https://www.youtube.com/watch?v=lO2A4g9tMJU&amp;t=65s", "Go to time")</f>
        <v/>
      </c>
    </row>
    <row r="2865">
      <c r="A2865">
        <f>HYPERLINK("https://www.youtube.com/watch?v=lO2A4g9tMJU", "Video")</f>
        <v/>
      </c>
      <c r="B2865" t="inlineStr">
        <is>
          <t>8:20</t>
        </is>
      </c>
      <c r="C2865" t="inlineStr">
        <is>
          <t>Instead of saying "drive less,"</t>
        </is>
      </c>
      <c r="D2865">
        <f>HYPERLINK("https://www.youtube.com/watch?v=lO2A4g9tMJU&amp;t=500s", "Go to time")</f>
        <v/>
      </c>
    </row>
    <row r="2866">
      <c r="A2866">
        <f>HYPERLINK("https://www.youtube.com/watch?v=lO2A4g9tMJU", "Video")</f>
        <v/>
      </c>
      <c r="B2866" t="inlineStr">
        <is>
          <t>8:22</t>
        </is>
      </c>
      <c r="C2866" t="inlineStr">
        <is>
          <t>we should say “drive more ...</t>
        </is>
      </c>
      <c r="D2866">
        <f>HYPERLINK("https://www.youtube.com/watch?v=lO2A4g9tMJU&amp;t=502s", "Go to time")</f>
        <v/>
      </c>
    </row>
    <row r="2867">
      <c r="A2867">
        <f>HYPERLINK("https://www.youtube.com/watch?v=lO2A4g9tMJU", "Video")</f>
        <v/>
      </c>
      <c r="B2867" t="inlineStr">
        <is>
          <t>8:42</t>
        </is>
      </c>
      <c r="C2867" t="inlineStr">
        <is>
          <t>we should drive our friends.</t>
        </is>
      </c>
      <c r="D2867">
        <f>HYPERLINK("https://www.youtube.com/watch?v=lO2A4g9tMJU&amp;t=522s", "Go to time")</f>
        <v/>
      </c>
    </row>
    <row r="2868">
      <c r="A2868">
        <f>HYPERLINK("https://www.youtube.com/watch?v=DzNN_4rcIjs", "Video")</f>
        <v/>
      </c>
      <c r="B2868" t="inlineStr">
        <is>
          <t>0:51</t>
        </is>
      </c>
      <c r="C2868" t="inlineStr">
        <is>
          <t>But then they would have to drive
back into the city</t>
        </is>
      </c>
      <c r="D2868">
        <f>HYPERLINK("https://www.youtube.com/watch?v=DzNN_4rcIjs&amp;t=51s", "Go to time")</f>
        <v/>
      </c>
    </row>
    <row r="2869">
      <c r="A2869">
        <f>HYPERLINK("https://www.youtube.com/watch?v=xsEJ6GeAGb0", "Video")</f>
        <v/>
      </c>
      <c r="B2869" t="inlineStr">
        <is>
          <t>2:48</t>
        </is>
      </c>
      <c r="C2869" t="inlineStr">
        <is>
          <t>But for many people,
it goes into overdrive.</t>
        </is>
      </c>
      <c r="D2869">
        <f>HYPERLINK("https://www.youtube.com/watch?v=xsEJ6GeAGb0&amp;t=168s", "Go to time")</f>
        <v/>
      </c>
    </row>
    <row r="2870">
      <c r="A2870">
        <f>HYPERLINK("https://www.youtube.com/watch?v=xsEJ6GeAGb0", "Video")</f>
        <v/>
      </c>
      <c r="B2870" t="inlineStr">
        <is>
          <t>4:50</t>
        </is>
      </c>
      <c r="C2870" t="inlineStr">
        <is>
          <t>that are going into overdrive.</t>
        </is>
      </c>
      <c r="D2870">
        <f>HYPERLINK("https://www.youtube.com/watch?v=xsEJ6GeAGb0&amp;t=290s", "Go to time")</f>
        <v/>
      </c>
    </row>
    <row r="2871">
      <c r="A2871">
        <f>HYPERLINK("https://www.youtube.com/watch?v=YPvP_C4qy0E", "Video")</f>
        <v/>
      </c>
      <c r="B2871" t="inlineStr">
        <is>
          <t>7:36</t>
        </is>
      </c>
      <c r="C2871" t="inlineStr">
        <is>
          <t>data-driven climate action.</t>
        </is>
      </c>
      <c r="D2871">
        <f>HYPERLINK("https://www.youtube.com/watch?v=YPvP_C4qy0E&amp;t=456s", "Go to time")</f>
        <v/>
      </c>
    </row>
    <row r="2872">
      <c r="A2872">
        <f>HYPERLINK("https://www.youtube.com/watch?v=z_ca983qJcI", "Video")</f>
        <v/>
      </c>
      <c r="B2872" t="inlineStr">
        <is>
          <t>1:49</t>
        </is>
      </c>
      <c r="C2872" t="inlineStr">
        <is>
          <t>I've worked on driverless
cars and morality,</t>
        </is>
      </c>
      <c r="D2872">
        <f>HYPERLINK("https://www.youtube.com/watch?v=z_ca983qJcI&amp;t=109s", "Go to time")</f>
        <v/>
      </c>
    </row>
    <row r="2873">
      <c r="A2873">
        <f>HYPERLINK("https://www.youtube.com/watch?v=afev0ZjAhUA", "Video")</f>
        <v/>
      </c>
      <c r="B2873" t="inlineStr">
        <is>
          <t>0:13</t>
        </is>
      </c>
      <c r="C2873" t="inlineStr">
        <is>
          <t>I'm driven by pure passion</t>
        </is>
      </c>
      <c r="D2873">
        <f>HYPERLINK("https://www.youtube.com/watch?v=afev0ZjAhUA&amp;t=13s", "Go to time")</f>
        <v/>
      </c>
    </row>
    <row r="2874">
      <c r="A2874">
        <f>HYPERLINK("https://www.youtube.com/watch?v=afev0ZjAhUA", "Video")</f>
        <v/>
      </c>
      <c r="B2874" t="inlineStr">
        <is>
          <t>2:40</t>
        </is>
      </c>
      <c r="C2874" t="inlineStr">
        <is>
          <t>And the thing that drives me
is the fear of just missing one of them.</t>
        </is>
      </c>
      <c r="D2874">
        <f>HYPERLINK("https://www.youtube.com/watch?v=afev0ZjAhUA&amp;t=160s", "Go to time")</f>
        <v/>
      </c>
    </row>
    <row r="2875">
      <c r="A2875">
        <f>HYPERLINK("https://www.youtube.com/watch?v=20adDr7Felw", "Video")</f>
        <v/>
      </c>
      <c r="B2875" t="inlineStr">
        <is>
          <t>9:36</t>
        </is>
      </c>
      <c r="C2875" t="inlineStr">
        <is>
          <t>so actually energy at a scale
that can drive industrial development.</t>
        </is>
      </c>
      <c r="D2875">
        <f>HYPERLINK("https://www.youtube.com/watch?v=20adDr7Felw&amp;t=576s", "Go to time")</f>
        <v/>
      </c>
    </row>
    <row r="2876">
      <c r="A2876">
        <f>HYPERLINK("https://www.youtube.com/watch?v=u3BZDx2dnSE", "Video")</f>
        <v/>
      </c>
      <c r="B2876" t="inlineStr">
        <is>
          <t>14:41</t>
        </is>
      </c>
      <c r="C2876" t="inlineStr">
        <is>
          <t>driven recovery that is improving those</t>
        </is>
      </c>
      <c r="D2876">
        <f>HYPERLINK("https://www.youtube.com/watch?v=u3BZDx2dnSE&amp;t=881s", "Go to time")</f>
        <v/>
      </c>
    </row>
    <row r="2877">
      <c r="A2877">
        <f>HYPERLINK("https://www.youtube.com/watch?v=u3BZDx2dnSE", "Video")</f>
        <v/>
      </c>
      <c r="B2877" t="inlineStr">
        <is>
          <t>20:49</t>
        </is>
      </c>
      <c r="C2877" t="inlineStr">
        <is>
          <t>from the exit driven venture capital</t>
        </is>
      </c>
      <c r="D2877">
        <f>HYPERLINK("https://www.youtube.com/watch?v=u3BZDx2dnSE&amp;t=1249s", "Go to time")</f>
        <v/>
      </c>
    </row>
    <row r="2878">
      <c r="A2878">
        <f>HYPERLINK("https://www.youtube.com/watch?v=u3BZDx2dnSE", "Video")</f>
        <v/>
      </c>
      <c r="B2878" t="inlineStr">
        <is>
          <t>24:51</t>
        </is>
      </c>
      <c r="C2878" t="inlineStr">
        <is>
          <t>current system it's being driven by you</t>
        </is>
      </c>
      <c r="D2878">
        <f>HYPERLINK("https://www.youtube.com/watch?v=u3BZDx2dnSE&amp;t=1491s", "Go to time")</f>
        <v/>
      </c>
    </row>
    <row r="2879">
      <c r="A2879">
        <f>HYPERLINK("https://www.youtube.com/watch?v=u3BZDx2dnSE", "Video")</f>
        <v/>
      </c>
      <c r="B2879" t="inlineStr">
        <is>
          <t>25:02</t>
        </is>
      </c>
      <c r="C2879" t="inlineStr">
        <is>
          <t>more stakeholder driven system now you</t>
        </is>
      </c>
      <c r="D2879">
        <f>HYPERLINK("https://www.youtube.com/watch?v=u3BZDx2dnSE&amp;t=1502s", "Go to time")</f>
        <v/>
      </c>
    </row>
    <row r="2880">
      <c r="A2880">
        <f>HYPERLINK("https://www.youtube.com/watch?v=u3BZDx2dnSE", "Video")</f>
        <v/>
      </c>
      <c r="B2880" t="inlineStr">
        <is>
          <t>25:41</t>
        </is>
      </c>
      <c r="C2880" t="inlineStr">
        <is>
          <t>Driven we need to do stakeholder value</t>
        </is>
      </c>
      <c r="D2880">
        <f>HYPERLINK("https://www.youtube.com/watch?v=u3BZDx2dnSE&amp;t=1541s", "Go to time")</f>
        <v/>
      </c>
    </row>
    <row r="2881">
      <c r="A2881">
        <f>HYPERLINK("https://www.youtube.com/watch?v=u3BZDx2dnSE", "Video")</f>
        <v/>
      </c>
      <c r="B2881" t="inlineStr">
        <is>
          <t>46:33</t>
        </is>
      </c>
      <c r="C2881" t="inlineStr">
        <is>
          <t>way and not outcomes driven and not put</t>
        </is>
      </c>
      <c r="D2881">
        <f>HYPERLINK("https://www.youtube.com/watch?v=u3BZDx2dnSE&amp;t=2793s", "Go to time")</f>
        <v/>
      </c>
    </row>
    <row r="2882">
      <c r="A2882">
        <f>HYPERLINK("https://www.youtube.com/watch?v=mkd_XHXhCcw", "Video")</f>
        <v/>
      </c>
      <c r="B2882" t="inlineStr">
        <is>
          <t>31:49</t>
        </is>
      </c>
      <c r="C2882" t="inlineStr">
        <is>
          <t>where I'll have a lot in common
with a person who drives a pickup truck</t>
        </is>
      </c>
      <c r="D2882">
        <f>HYPERLINK("https://www.youtube.com/watch?v=mkd_XHXhCcw&amp;t=1909s", "Go to time")</f>
        <v/>
      </c>
    </row>
    <row r="2883">
      <c r="A2883">
        <f>HYPERLINK("https://www.youtube.com/watch?v=CoQuaDKV3xk", "Video")</f>
        <v/>
      </c>
      <c r="B2883" t="inlineStr">
        <is>
          <t>9:04</t>
        </is>
      </c>
      <c r="C2883" t="inlineStr">
        <is>
          <t>over but the the underlying driver I</t>
        </is>
      </c>
      <c r="D2883">
        <f>HYPERLINK("https://www.youtube.com/watch?v=CoQuaDKV3xk&amp;t=544s", "Go to time")</f>
        <v/>
      </c>
    </row>
    <row r="2884">
      <c r="A2884">
        <f>HYPERLINK("https://www.youtube.com/watch?v=CoQuaDKV3xk", "Video")</f>
        <v/>
      </c>
      <c r="B2884" t="inlineStr">
        <is>
          <t>25:55</t>
        </is>
      </c>
      <c r="C2884" t="inlineStr">
        <is>
          <t>drivers of microbes turning into</t>
        </is>
      </c>
      <c r="D2884">
        <f>HYPERLINK("https://www.youtube.com/watch?v=CoQuaDKV3xk&amp;t=1555s", "Go to time")</f>
        <v/>
      </c>
    </row>
    <row r="2885">
      <c r="A2885">
        <f>HYPERLINK("https://www.youtube.com/watch?v=CoQuaDKV3xk", "Video")</f>
        <v/>
      </c>
      <c r="B2885" t="inlineStr">
        <is>
          <t>28:17</t>
        </is>
      </c>
      <c r="C2885" t="inlineStr">
        <is>
          <t>driver of all this so Public Health is</t>
        </is>
      </c>
      <c r="D2885">
        <f>HYPERLINK("https://www.youtube.com/watch?v=CoQuaDKV3xk&amp;t=1697s", "Go to time")</f>
        <v/>
      </c>
    </row>
    <row r="2886">
      <c r="A2886">
        <f>HYPERLINK("https://www.youtube.com/watch?v=icQS5_mOx7U", "Video")</f>
        <v/>
      </c>
      <c r="B2886" t="inlineStr">
        <is>
          <t>3:38</t>
        </is>
      </c>
      <c r="C2886" t="inlineStr">
        <is>
          <t>using our influence to drive
excessive consumerism.</t>
        </is>
      </c>
      <c r="D2886">
        <f>HYPERLINK("https://www.youtube.com/watch?v=icQS5_mOx7U&amp;t=218s", "Go to time")</f>
        <v/>
      </c>
    </row>
    <row r="2887">
      <c r="A2887">
        <f>HYPERLINK("https://www.youtube.com/watch?v=0_M_syPuFos", "Video")</f>
        <v/>
      </c>
      <c r="B2887" t="inlineStr">
        <is>
          <t>16:09</t>
        </is>
      </c>
      <c r="C2887" t="inlineStr">
        <is>
          <t>companies in a competitive situation
can be driven to do things</t>
        </is>
      </c>
      <c r="D2887">
        <f>HYPERLINK("https://www.youtube.com/watch?v=0_M_syPuFos&amp;t=969s", "Go to time")</f>
        <v/>
      </c>
    </row>
    <row r="2888">
      <c r="A2888">
        <f>HYPERLINK("https://www.youtube.com/watch?v=0_M_syPuFos", "Video")</f>
        <v/>
      </c>
      <c r="B2888" t="inlineStr">
        <is>
          <t>19:52</t>
        </is>
      </c>
      <c r="C2888" t="inlineStr">
        <is>
          <t>It takes like five gigawatts
of energy to drive this, it's estimated.</t>
        </is>
      </c>
      <c r="D2888">
        <f>HYPERLINK("https://www.youtube.com/watch?v=0_M_syPuFos&amp;t=1192s", "Go to time")</f>
        <v/>
      </c>
    </row>
    <row r="2889">
      <c r="A2889">
        <f>HYPERLINK("https://www.youtube.com/watch?v=0_M_syPuFos", "Video")</f>
        <v/>
      </c>
      <c r="B2889" t="inlineStr">
        <is>
          <t>19:56</t>
        </is>
      </c>
      <c r="C2889" t="inlineStr">
        <is>
          <t>That's the energy of New York City
to drive a data center.</t>
        </is>
      </c>
      <c r="D2889">
        <f>HYPERLINK("https://www.youtube.com/watch?v=0_M_syPuFos&amp;t=1196s", "Go to time")</f>
        <v/>
      </c>
    </row>
    <row r="2890">
      <c r="A2890">
        <f>HYPERLINK("https://www.youtube.com/watch?v=IGIT-vENgaQ", "Video")</f>
        <v/>
      </c>
      <c r="B2890" t="inlineStr">
        <is>
          <t>12:59</t>
        </is>
      </c>
      <c r="C2890" t="inlineStr">
        <is>
          <t>and drive the development
of carbon removal</t>
        </is>
      </c>
      <c r="D2890">
        <f>HYPERLINK("https://www.youtube.com/watch?v=IGIT-vENgaQ&amp;t=779s", "Go to time")</f>
        <v/>
      </c>
    </row>
    <row r="2891">
      <c r="A2891">
        <f>HYPERLINK("https://www.youtube.com/watch?v=dvxmn_6o8g0", "Video")</f>
        <v/>
      </c>
      <c r="B2891" t="inlineStr">
        <is>
          <t>1:02</t>
        </is>
      </c>
      <c r="C2891" t="inlineStr">
        <is>
          <t>that ammonia could be a game-changing way
to drive giant cargo ships,</t>
        </is>
      </c>
      <c r="D2891">
        <f>HYPERLINK("https://www.youtube.com/watch?v=dvxmn_6o8g0&amp;t=62s", "Go to time")</f>
        <v/>
      </c>
    </row>
    <row r="2892">
      <c r="A2892">
        <f>HYPERLINK("https://www.youtube.com/watch?v=dvxmn_6o8g0", "Video")</f>
        <v/>
      </c>
      <c r="B2892" t="inlineStr">
        <is>
          <t>1:13</t>
        </is>
      </c>
      <c r="C2892" t="inlineStr">
        <is>
          <t>bringing the food we eat,
the clothes we wear, the cars we drive.</t>
        </is>
      </c>
      <c r="D2892">
        <f>HYPERLINK("https://www.youtube.com/watch?v=dvxmn_6o8g0&amp;t=73s", "Go to time")</f>
        <v/>
      </c>
    </row>
    <row r="2893">
      <c r="A2893">
        <f>HYPERLINK("https://www.youtube.com/watch?v=dvxmn_6o8g0", "Video")</f>
        <v/>
      </c>
      <c r="B2893" t="inlineStr">
        <is>
          <t>3:40</t>
        </is>
      </c>
      <c r="C2893" t="inlineStr">
        <is>
          <t>and that's what drives the ship's motors
and turns the propellers.</t>
        </is>
      </c>
      <c r="D2893">
        <f>HYPERLINK("https://www.youtube.com/watch?v=dvxmn_6o8g0&amp;t=220s", "Go to time")</f>
        <v/>
      </c>
    </row>
    <row r="2894">
      <c r="A2894">
        <f>HYPERLINK("https://www.youtube.com/watch?v=dvxmn_6o8g0", "Video")</f>
        <v/>
      </c>
      <c r="B2894" t="inlineStr">
        <is>
          <t>6:53</t>
        </is>
      </c>
      <c r="C2894" t="inlineStr">
        <is>
          <t>and diesel engines
took this into overdrive.</t>
        </is>
      </c>
      <c r="D2894">
        <f>HYPERLINK("https://www.youtube.com/watch?v=dvxmn_6o8g0&amp;t=413s", "Go to time")</f>
        <v/>
      </c>
    </row>
    <row r="2895">
      <c r="A2895">
        <f>HYPERLINK("https://www.youtube.com/watch?v=aTfwA1TaH3Q", "Video")</f>
        <v/>
      </c>
      <c r="B2895" t="inlineStr">
        <is>
          <t>6:58</t>
        </is>
      </c>
      <c r="C2895" t="inlineStr">
        <is>
          <t>They felt that they were not
empowered to drive change.</t>
        </is>
      </c>
      <c r="D2895">
        <f>HYPERLINK("https://www.youtube.com/watch?v=aTfwA1TaH3Q&amp;t=418s", "Go to time")</f>
        <v/>
      </c>
    </row>
    <row r="2896">
      <c r="A2896">
        <f>HYPERLINK("https://www.youtube.com/watch?v=aTfwA1TaH3Q", "Video")</f>
        <v/>
      </c>
      <c r="B2896" t="inlineStr">
        <is>
          <t>9:04</t>
        </is>
      </c>
      <c r="C2896" t="inlineStr">
        <is>
          <t>who are excited and ready to drive change,</t>
        </is>
      </c>
      <c r="D2896">
        <f>HYPERLINK("https://www.youtube.com/watch?v=aTfwA1TaH3Q&amp;t=544s", "Go to time")</f>
        <v/>
      </c>
    </row>
    <row r="2897">
      <c r="A2897">
        <f>HYPERLINK("https://www.youtube.com/watch?v=aTfwA1TaH3Q", "Video")</f>
        <v/>
      </c>
      <c r="B2897" t="inlineStr">
        <is>
          <t>10:33</t>
        </is>
      </c>
      <c r="C2897" t="inlineStr">
        <is>
          <t>Maybe applied for your driver's license,</t>
        </is>
      </c>
      <c r="D2897">
        <f>HYPERLINK("https://www.youtube.com/watch?v=aTfwA1TaH3Q&amp;t=633s", "Go to time")</f>
        <v/>
      </c>
    </row>
    <row r="2898">
      <c r="A2898">
        <f>HYPERLINK("https://www.youtube.com/watch?v=f4xu7w6Vf0U", "Video")</f>
        <v/>
      </c>
      <c r="B2898" t="inlineStr">
        <is>
          <t>44:02</t>
        </is>
      </c>
      <c r="C2898" t="inlineStr">
        <is>
          <t>key driver of that.</t>
        </is>
      </c>
      <c r="D2898">
        <f>HYPERLINK("https://www.youtube.com/watch?v=f4xu7w6Vf0U&amp;t=2642s", "Go to time")</f>
        <v/>
      </c>
    </row>
    <row r="2899">
      <c r="A2899">
        <f>HYPERLINK("https://www.youtube.com/watch?v=f4xu7w6Vf0U", "Video")</f>
        <v/>
      </c>
      <c r="B2899" t="inlineStr">
        <is>
          <t>44:30</t>
        </is>
      </c>
      <c r="C2899" t="inlineStr">
        <is>
          <t>the drive to try to do this?</t>
        </is>
      </c>
      <c r="D2899">
        <f>HYPERLINK("https://www.youtube.com/watch?v=f4xu7w6Vf0U&amp;t=2670s", "Go to time")</f>
        <v/>
      </c>
    </row>
    <row r="2900">
      <c r="A2900">
        <f>HYPERLINK("https://www.youtube.com/watch?v=nEtATZePGmg", "Video")</f>
        <v/>
      </c>
      <c r="B2900" t="inlineStr">
        <is>
          <t>2:31</t>
        </is>
      </c>
      <c r="C2900" t="inlineStr">
        <is>
          <t>uh for example a screwdriver can be used</t>
        </is>
      </c>
      <c r="D2900">
        <f>HYPERLINK("https://www.youtube.com/watch?v=nEtATZePGmg&amp;t=151s", "Go to time")</f>
        <v/>
      </c>
    </row>
    <row r="2901">
      <c r="A2901">
        <f>HYPERLINK("https://www.youtube.com/watch?v=eHJnEHyyN1Y", "Video")</f>
        <v/>
      </c>
      <c r="B2901" t="inlineStr">
        <is>
          <t>10:13</t>
        </is>
      </c>
      <c r="C2901" t="inlineStr">
        <is>
          <t>to have the next big thing
parked in their driveway.</t>
        </is>
      </c>
      <c r="D2901">
        <f>HYPERLINK("https://www.youtube.com/watch?v=eHJnEHyyN1Y&amp;t=613s", "Go to time")</f>
        <v/>
      </c>
    </row>
    <row r="2902">
      <c r="A2902">
        <f>HYPERLINK("https://www.youtube.com/watch?v=a_avBsX60-s", "Video")</f>
        <v/>
      </c>
      <c r="B2902" t="inlineStr">
        <is>
          <t>2:44</t>
        </is>
      </c>
      <c r="C2902" t="inlineStr">
        <is>
          <t>It's the advocacy of art
that is not policy-driven</t>
        </is>
      </c>
      <c r="D2902">
        <f>HYPERLINK("https://www.youtube.com/watch?v=a_avBsX60-s&amp;t=164s", "Go to time")</f>
        <v/>
      </c>
    </row>
    <row r="2903">
      <c r="A2903">
        <f>HYPERLINK("https://www.youtube.com/watch?v=a_avBsX60-s", "Video")</f>
        <v/>
      </c>
      <c r="B2903" t="inlineStr">
        <is>
          <t>2:47</t>
        </is>
      </c>
      <c r="C2903" t="inlineStr">
        <is>
          <t>or agenda-driven</t>
        </is>
      </c>
      <c r="D2903">
        <f>HYPERLINK("https://www.youtube.com/watch?v=a_avBsX60-s&amp;t=167s", "Go to time")</f>
        <v/>
      </c>
    </row>
    <row r="2904">
      <c r="A2904">
        <f>HYPERLINK("https://www.youtube.com/watch?v=PI5V1-IFvlI", "Video")</f>
        <v/>
      </c>
      <c r="B2904" t="inlineStr">
        <is>
          <t>0:47</t>
        </is>
      </c>
      <c r="C2904" t="inlineStr">
        <is>
          <t>and the New Jersey state troopers
who used to drive Governor Corzine around</t>
        </is>
      </c>
      <c r="D2904">
        <f>HYPERLINK("https://www.youtube.com/watch?v=PI5V1-IFvlI&amp;t=47s", "Go to time")</f>
        <v/>
      </c>
    </row>
    <row r="2905">
      <c r="A2905">
        <f>HYPERLINK("https://www.youtube.com/watch?v=5g8V23poB9Q", "Video")</f>
        <v/>
      </c>
      <c r="B2905" t="inlineStr">
        <is>
          <t>0:41</t>
        </is>
      </c>
      <c r="C2905" t="inlineStr">
        <is>
          <t>It's so thin that if you could drive
an automobile at autobahn speeds</t>
        </is>
      </c>
      <c r="D2905">
        <f>HYPERLINK("https://www.youtube.com/watch?v=5g8V23poB9Q&amp;t=41s", "Go to time")</f>
        <v/>
      </c>
    </row>
    <row r="2906">
      <c r="A2906">
        <f>HYPERLINK("https://www.youtube.com/watch?v=Li7PsYiwxVc", "Video")</f>
        <v/>
      </c>
      <c r="B2906" t="inlineStr">
        <is>
          <t>11:23</t>
        </is>
      </c>
      <c r="C2906" t="inlineStr">
        <is>
          <t>and maybe a little rover
so they can drive around</t>
        </is>
      </c>
      <c r="D2906">
        <f>HYPERLINK("https://www.youtube.com/watch?v=Li7PsYiwxVc&amp;t=683s", "Go to time")</f>
        <v/>
      </c>
    </row>
    <row r="2907">
      <c r="A2907">
        <f>HYPERLINK("https://www.youtube.com/watch?v=jKM0jlPW8x0", "Video")</f>
        <v/>
      </c>
      <c r="B2907" t="inlineStr">
        <is>
          <t>0:23</t>
        </is>
      </c>
      <c r="C2907" t="inlineStr">
        <is>
          <t>For millions of drivers in many parts 
of Africa, this is the norm.</t>
        </is>
      </c>
      <c r="D2907">
        <f>HYPERLINK("https://www.youtube.com/watch?v=jKM0jlPW8x0&amp;t=23s", "Go to time")</f>
        <v/>
      </c>
    </row>
    <row r="2908">
      <c r="A2908">
        <f>HYPERLINK("https://www.youtube.com/watch?v=jKM0jlPW8x0", "Video")</f>
        <v/>
      </c>
      <c r="B2908" t="inlineStr">
        <is>
          <t>3:10</t>
        </is>
      </c>
      <c r="C2908" t="inlineStr">
        <is>
          <t>And to make this something customers
could actually be proud to drive in,</t>
        </is>
      </c>
      <c r="D2908">
        <f>HYPERLINK("https://www.youtube.com/watch?v=jKM0jlPW8x0&amp;t=190s", "Go to time")</f>
        <v/>
      </c>
    </row>
    <row r="2909">
      <c r="A2909">
        <f>HYPERLINK("https://www.youtube.com/watch?v=jKM0jlPW8x0", "Video")</f>
        <v/>
      </c>
      <c r="B2909" t="inlineStr">
        <is>
          <t>4:23</t>
        </is>
      </c>
      <c r="C2909" t="inlineStr">
        <is>
          <t>Transportation services
like this are the fundamental driver</t>
        </is>
      </c>
      <c r="D2909">
        <f>HYPERLINK("https://www.youtube.com/watch?v=jKM0jlPW8x0&amp;t=263s", "Go to time")</f>
        <v/>
      </c>
    </row>
    <row r="2910">
      <c r="A2910">
        <f>HYPERLINK("https://www.youtube.com/watch?v=LZXUR4z2P9w", "Video")</f>
        <v/>
      </c>
      <c r="B2910" t="inlineStr">
        <is>
          <t>0:23</t>
        </is>
      </c>
      <c r="C2910" t="inlineStr">
        <is>
          <t>electric car in the driveway.</t>
        </is>
      </c>
      <c r="D2910">
        <f>HYPERLINK("https://www.youtube.com/watch?v=LZXUR4z2P9w&amp;t=23s", "Go to time")</f>
        <v/>
      </c>
    </row>
    <row r="2911">
      <c r="A2911">
        <f>HYPERLINK("https://www.youtube.com/watch?v=7p1nCRQCiUM", "Video")</f>
        <v/>
      </c>
      <c r="B2911" t="inlineStr">
        <is>
          <t>7:52</t>
        </is>
      </c>
      <c r="C2911" t="inlineStr">
        <is>
          <t>and it was purely metric driven.</t>
        </is>
      </c>
      <c r="D2911">
        <f>HYPERLINK("https://www.youtube.com/watch?v=7p1nCRQCiUM&amp;t=472s", "Go to time")</f>
        <v/>
      </c>
    </row>
    <row r="2912">
      <c r="A2912">
        <f>HYPERLINK("https://www.youtube.com/watch?v=ZTg54BbjJfA", "Video")</f>
        <v/>
      </c>
      <c r="B2912" t="inlineStr">
        <is>
          <t>3:19</t>
        </is>
      </c>
      <c r="C2912" t="inlineStr">
        <is>
          <t>but it is the most fundamental
drive in all of human nature.</t>
        </is>
      </c>
      <c r="D2912">
        <f>HYPERLINK("https://www.youtube.com/watch?v=ZTg54BbjJfA&amp;t=199s", "Go to time")</f>
        <v/>
      </c>
    </row>
    <row r="2913">
      <c r="A2913">
        <f>HYPERLINK("https://www.youtube.com/watch?v=CPVjktgYKo4", "Video")</f>
        <v/>
      </c>
      <c r="B2913" t="inlineStr">
        <is>
          <t>3:17</t>
        </is>
      </c>
      <c r="C2913" t="inlineStr">
        <is>
          <t>Many of the economies
are still commodity driven,</t>
        </is>
      </c>
      <c r="D2913">
        <f>HYPERLINK("https://www.youtube.com/watch?v=CPVjktgYKo4&amp;t=197s", "Go to time")</f>
        <v/>
      </c>
    </row>
    <row r="2914">
      <c r="A2914">
        <f>HYPERLINK("https://www.youtube.com/watch?v=jjyghcrVoRo", "Video")</f>
        <v/>
      </c>
      <c r="B2914" t="inlineStr">
        <is>
          <t>6:50</t>
        </is>
      </c>
      <c r="C2914" t="inlineStr">
        <is>
          <t>to drive 500 miles to Storm Lake, Iowa,</t>
        </is>
      </c>
      <c r="D2914">
        <f>HYPERLINK("https://www.youtube.com/watch?v=jjyghcrVoRo&amp;t=410s", "Go to time")</f>
        <v/>
      </c>
    </row>
    <row r="2915">
      <c r="A2915">
        <f>HYPERLINK("https://www.youtube.com/watch?v=vgigO1XgyRo", "Video")</f>
        <v/>
      </c>
      <c r="B2915" t="inlineStr">
        <is>
          <t>1:02</t>
        </is>
      </c>
      <c r="C2915" t="inlineStr">
        <is>
          <t>The finger-driven touch screen
has been around for 60 years.</t>
        </is>
      </c>
      <c r="D2915">
        <f>HYPERLINK("https://www.youtube.com/watch?v=vgigO1XgyRo&amp;t=62s", "Go to time")</f>
        <v/>
      </c>
    </row>
    <row r="2916">
      <c r="A2916">
        <f>HYPERLINK("https://www.youtube.com/watch?v=pnKhVpgcmFc", "Video")</f>
        <v/>
      </c>
      <c r="B2916" t="inlineStr">
        <is>
          <t>2:06</t>
        </is>
      </c>
      <c r="C2916" t="inlineStr">
        <is>
          <t>More than used up, walked on,
driven through, shot up.</t>
        </is>
      </c>
      <c r="D2916">
        <f>HYPERLINK("https://www.youtube.com/watch?v=pnKhVpgcmFc&amp;t=126s", "Go to time")</f>
        <v/>
      </c>
    </row>
    <row r="2917">
      <c r="A2917">
        <f>HYPERLINK("https://www.youtube.com/watch?v=eeVCz-9SUc8", "Video")</f>
        <v/>
      </c>
      <c r="B2917" t="inlineStr">
        <is>
          <t>2:42</t>
        </is>
      </c>
      <c r="C2917" t="inlineStr">
        <is>
          <t>People that can't see
well enough to drive,</t>
        </is>
      </c>
      <c r="D2917">
        <f>HYPERLINK("https://www.youtube.com/watch?v=eeVCz-9SUc8&amp;t=162s", "Go to time")</f>
        <v/>
      </c>
    </row>
    <row r="2918">
      <c r="A2918">
        <f>HYPERLINK("https://www.youtube.com/watch?v=PYJ22-YYNW8", "Video")</f>
        <v/>
      </c>
      <c r="B2918" t="inlineStr">
        <is>
          <t>0:00</t>
        </is>
      </c>
      <c r="C2918" t="inlineStr">
        <is>
          <t>We survey CEOs, police officers,
truck drivers, cooks, engineers.</t>
        </is>
      </c>
      <c r="D2918">
        <f>HYPERLINK("https://www.youtube.com/watch?v=PYJ22-YYNW8&amp;t=0s", "Go to time")</f>
        <v/>
      </c>
    </row>
    <row r="2919">
      <c r="A2919">
        <f>HYPERLINK("https://www.youtube.com/watch?v=lyu7v7nWzfo", "Video")</f>
        <v/>
      </c>
      <c r="B2919" t="inlineStr">
        <is>
          <t>14:03</t>
        </is>
      </c>
      <c r="C2919" t="inlineStr">
        <is>
          <t>all stem from this basic
drive to stay alive.</t>
        </is>
      </c>
      <c r="D2919">
        <f>HYPERLINK("https://www.youtube.com/watch?v=lyu7v7nWzfo&amp;t=843s", "Go to time")</f>
        <v/>
      </c>
    </row>
    <row r="2920">
      <c r="A2920">
        <f>HYPERLINK("https://www.youtube.com/watch?v=BJtmffAQdlo", "Video")</f>
        <v/>
      </c>
      <c r="B2920" t="inlineStr">
        <is>
          <t>5:34</t>
        </is>
      </c>
      <c r="C2920" t="inlineStr">
        <is>
          <t>People who drive electric vehicles
can also light and heat up a campsite.</t>
        </is>
      </c>
      <c r="D2920">
        <f>HYPERLINK("https://www.youtube.com/watch?v=BJtmffAQdlo&amp;t=334s", "Go to time")</f>
        <v/>
      </c>
    </row>
    <row r="2921">
      <c r="A2921">
        <f>HYPERLINK("https://www.youtube.com/watch?v=BJtmffAQdlo", "Video")</f>
        <v/>
      </c>
      <c r="B2921" t="inlineStr">
        <is>
          <t>10:26</t>
        </is>
      </c>
      <c r="C2921" t="inlineStr">
        <is>
          <t>We need one framework
to drive a resilient grid faster.</t>
        </is>
      </c>
      <c r="D2921">
        <f>HYPERLINK("https://www.youtube.com/watch?v=BJtmffAQdlo&amp;t=626s", "Go to time")</f>
        <v/>
      </c>
    </row>
    <row r="2922">
      <c r="A2922">
        <f>HYPERLINK("https://www.youtube.com/watch?v=zjrFw3MASGc", "Video")</f>
        <v/>
      </c>
      <c r="B2922" t="inlineStr">
        <is>
          <t>2:42</t>
        </is>
      </c>
      <c r="C2922" t="inlineStr">
        <is>
          <t>and allow vehicles to drive right over.</t>
        </is>
      </c>
      <c r="D2922">
        <f>HYPERLINK("https://www.youtube.com/watch?v=zjrFw3MASGc&amp;t=162s", "Go to time")</f>
        <v/>
      </c>
    </row>
    <row r="2923">
      <c r="A2923">
        <f>HYPERLINK("https://www.youtube.com/watch?v=21hgbMa_sVc", "Video")</f>
        <v/>
      </c>
      <c r="B2923" t="inlineStr">
        <is>
          <t>5:55</t>
        </is>
      </c>
      <c r="C2923" t="inlineStr">
        <is>
          <t>to become a motorcycle taxi driver.</t>
        </is>
      </c>
      <c r="D2923">
        <f>HYPERLINK("https://www.youtube.com/watch?v=21hgbMa_sVc&amp;t=355s", "Go to time")</f>
        <v/>
      </c>
    </row>
    <row r="2924">
      <c r="A2924">
        <f>HYPERLINK("https://www.youtube.com/watch?v=21hgbMa_sVc", "Video")</f>
        <v/>
      </c>
      <c r="B2924" t="inlineStr">
        <is>
          <t>6:40</t>
        </is>
      </c>
      <c r="C2924" t="inlineStr">
        <is>
          <t>often acting as getaway drivers
in bombings and kidnappings.</t>
        </is>
      </c>
      <c r="D2924">
        <f>HYPERLINK("https://www.youtube.com/watch?v=21hgbMa_sVc&amp;t=400s", "Go to time")</f>
        <v/>
      </c>
    </row>
    <row r="2925">
      <c r="A2925">
        <f>HYPERLINK("https://www.youtube.com/watch?v=21hgbMa_sVc", "Video")</f>
        <v/>
      </c>
      <c r="B2925" t="inlineStr">
        <is>
          <t>10:19</t>
        </is>
      </c>
      <c r="C2925" t="inlineStr">
        <is>
          <t>I know these driven, ambitious young men</t>
        </is>
      </c>
      <c r="D2925">
        <f>HYPERLINK("https://www.youtube.com/watch?v=21hgbMa_sVc&amp;t=619s", "Go to time")</f>
        <v/>
      </c>
    </row>
    <row r="2926">
      <c r="A2926">
        <f>HYPERLINK("https://www.youtube.com/watch?v=7a5NyUITbyk", "Video")</f>
        <v/>
      </c>
      <c r="B2926" t="inlineStr">
        <is>
          <t>1:34</t>
        </is>
      </c>
      <c r="C2926" t="inlineStr">
        <is>
          <t>primarily driven by increasing usage
in Asian and African countries.</t>
        </is>
      </c>
      <c r="D2926">
        <f>HYPERLINK("https://www.youtube.com/watch?v=7a5NyUITbyk&amp;t=94s", "Go to time")</f>
        <v/>
      </c>
    </row>
    <row r="2927">
      <c r="A2927">
        <f>HYPERLINK("https://www.youtube.com/watch?v=7a5NyUITbyk", "Video")</f>
        <v/>
      </c>
      <c r="B2927" t="inlineStr">
        <is>
          <t>12:07</t>
        </is>
      </c>
      <c r="C2927" t="inlineStr">
        <is>
          <t>could be used to drive
something called a heat engine</t>
        </is>
      </c>
      <c r="D2927">
        <f>HYPERLINK("https://www.youtube.com/watch?v=7a5NyUITbyk&amp;t=727s", "Go to time")</f>
        <v/>
      </c>
    </row>
    <row r="2928">
      <c r="A2928">
        <f>HYPERLINK("https://www.youtube.com/watch?v=7LPJrzZaoZg", "Video")</f>
        <v/>
      </c>
      <c r="B2928" t="inlineStr">
        <is>
          <t>0:24</t>
        </is>
      </c>
      <c r="C2928" t="inlineStr">
        <is>
          <t>I do have a fetish for CD-ROM drives.</t>
        </is>
      </c>
      <c r="D2928">
        <f>HYPERLINK("https://www.youtube.com/watch?v=7LPJrzZaoZg&amp;t=24s", "Go to time")</f>
        <v/>
      </c>
    </row>
    <row r="2929">
      <c r="A2929">
        <f>HYPERLINK("https://www.youtube.com/watch?v=7LPJrzZaoZg", "Video")</f>
        <v/>
      </c>
      <c r="B2929" t="inlineStr">
        <is>
          <t>4:39</t>
        </is>
      </c>
      <c r="C2929" t="inlineStr">
        <is>
          <t>And then we founded
a mission-driven company,</t>
        </is>
      </c>
      <c r="D2929">
        <f>HYPERLINK("https://www.youtube.com/watch?v=7LPJrzZaoZg&amp;t=279s", "Go to time")</f>
        <v/>
      </c>
    </row>
    <row r="2930">
      <c r="A2930">
        <f>HYPERLINK("https://www.youtube.com/watch?v=PlytMrKfOFA", "Video")</f>
        <v/>
      </c>
      <c r="B2930" t="inlineStr">
        <is>
          <t>1:53</t>
        </is>
      </c>
      <c r="C2930" t="inlineStr">
        <is>
          <t>Today, I'd like to make a case
for curiosity-driven research,</t>
        </is>
      </c>
      <c r="D2930">
        <f>HYPERLINK("https://www.youtube.com/watch?v=PlytMrKfOFA&amp;t=113s", "Go to time")</f>
        <v/>
      </c>
    </row>
    <row r="2931">
      <c r="A2931">
        <f>HYPERLINK("https://www.youtube.com/watch?v=PlytMrKfOFA", "Video")</f>
        <v/>
      </c>
      <c r="B2931" t="inlineStr">
        <is>
          <t>4:16</t>
        </is>
      </c>
      <c r="C2931" t="inlineStr">
        <is>
          <t>because it crosses between
curiosity-driven research</t>
        </is>
      </c>
      <c r="D2931">
        <f>HYPERLINK("https://www.youtube.com/watch?v=PlytMrKfOFA&amp;t=256s", "Go to time")</f>
        <v/>
      </c>
    </row>
    <row r="2932">
      <c r="A2932">
        <f>HYPERLINK("https://www.youtube.com/watch?v=PlytMrKfOFA", "Video")</f>
        <v/>
      </c>
      <c r="B2932" t="inlineStr">
        <is>
          <t>6:18</t>
        </is>
      </c>
      <c r="C2932" t="inlineStr">
        <is>
          <t>Without curiosity-driven research, though,</t>
        </is>
      </c>
      <c r="D2932">
        <f>HYPERLINK("https://www.youtube.com/watch?v=PlytMrKfOFA&amp;t=378s", "Go to time")</f>
        <v/>
      </c>
    </row>
    <row r="2933">
      <c r="A2933">
        <f>HYPERLINK("https://www.youtube.com/watch?v=PlytMrKfOFA", "Video")</f>
        <v/>
      </c>
      <c r="B2933" t="inlineStr">
        <is>
          <t>8:27</t>
        </is>
      </c>
      <c r="C2933" t="inlineStr">
        <is>
          <t>in people that do
curiosity-driven research.</t>
        </is>
      </c>
      <c r="D2933">
        <f>HYPERLINK("https://www.youtube.com/watch?v=PlytMrKfOFA&amp;t=507s", "Go to time")</f>
        <v/>
      </c>
    </row>
    <row r="2934">
      <c r="A2934">
        <f>HYPERLINK("https://www.youtube.com/watch?v=PlytMrKfOFA", "Video")</f>
        <v/>
      </c>
      <c r="B2934" t="inlineStr">
        <is>
          <t>8:45</t>
        </is>
      </c>
      <c r="C2934" t="inlineStr">
        <is>
          <t>And now we need to invest
in curiosity-driven research,</t>
        </is>
      </c>
      <c r="D2934">
        <f>HYPERLINK("https://www.youtube.com/watch?v=PlytMrKfOFA&amp;t=525s", "Go to time")</f>
        <v/>
      </c>
    </row>
    <row r="2935">
      <c r="A2935">
        <f>HYPERLINK("https://www.youtube.com/watch?v=6TyIY6u31gk", "Video")</f>
        <v/>
      </c>
      <c r="B2935" t="inlineStr">
        <is>
          <t>2:01</t>
        </is>
      </c>
      <c r="C2935" t="inlineStr">
        <is>
          <t>and your cortex like the hard drive.</t>
        </is>
      </c>
      <c r="D2935">
        <f>HYPERLINK("https://www.youtube.com/watch?v=6TyIY6u31gk&amp;t=121s", "Go to time")</f>
        <v/>
      </c>
    </row>
    <row r="2936">
      <c r="A2936">
        <f>HYPERLINK("https://www.youtube.com/watch?v=6TyIY6u31gk", "Video")</f>
        <v/>
      </c>
      <c r="B2936" t="inlineStr">
        <is>
          <t>2:17</t>
        </is>
      </c>
      <c r="C2936" t="inlineStr">
        <is>
          <t>over to the hard drive
of the brain, the cortex.</t>
        </is>
      </c>
      <c r="D2936">
        <f>HYPERLINK("https://www.youtube.com/watch?v=6TyIY6u31gk&amp;t=137s", "Go to time")</f>
        <v/>
      </c>
    </row>
    <row r="2937">
      <c r="A2937">
        <f>HYPERLINK("https://www.youtube.com/watch?v=36D2r45jABA", "Video")</f>
        <v/>
      </c>
      <c r="B2937" t="inlineStr">
        <is>
          <t>1:30</t>
        </is>
      </c>
      <c r="C2937" t="inlineStr">
        <is>
          <t>we're driven by data
and we leverage technology.</t>
        </is>
      </c>
      <c r="D2937">
        <f>HYPERLINK("https://www.youtube.com/watch?v=36D2r45jABA&amp;t=90s", "Go to time")</f>
        <v/>
      </c>
    </row>
    <row r="2938">
      <c r="A2938">
        <f>HYPERLINK("https://www.youtube.com/watch?v=SK3z5H_Rfr0", "Video")</f>
        <v/>
      </c>
      <c r="B2938" t="inlineStr">
        <is>
          <t>3:46</t>
        </is>
      </c>
      <c r="C2938" t="inlineStr">
        <is>
          <t>Our environmental crisis
is not driven by intensive farming</t>
        </is>
      </c>
      <c r="D2938">
        <f>HYPERLINK("https://www.youtube.com/watch?v=SK3z5H_Rfr0&amp;t=226s", "Go to time")</f>
        <v/>
      </c>
    </row>
    <row r="2939">
      <c r="A2939">
        <f>HYPERLINK("https://www.youtube.com/watch?v=01qATwnoD_E", "Video")</f>
        <v/>
      </c>
      <c r="B2939" t="inlineStr">
        <is>
          <t>11:53</t>
        </is>
      </c>
      <c r="C2939" t="inlineStr">
        <is>
          <t>the consumer-driven use cases like the</t>
        </is>
      </c>
      <c r="D2939">
        <f>HYPERLINK("https://www.youtube.com/watch?v=01qATwnoD_E&amp;t=713s", "Go to time")</f>
        <v/>
      </c>
    </row>
    <row r="2940">
      <c r="A2940">
        <f>HYPERLINK("https://www.youtube.com/watch?v=01qATwnoD_E", "Video")</f>
        <v/>
      </c>
      <c r="B2940" t="inlineStr">
        <is>
          <t>25:09</t>
        </is>
      </c>
      <c r="C2940" t="inlineStr">
        <is>
          <t>will drive</t>
        </is>
      </c>
      <c r="D2940">
        <f>HYPERLINK("https://www.youtube.com/watch?v=01qATwnoD_E&amp;t=1509s", "Go to time")</f>
        <v/>
      </c>
    </row>
    <row r="2941">
      <c r="A2941">
        <f>HYPERLINK("https://www.youtube.com/watch?v=0VP-CjYHqJA", "Video")</f>
        <v/>
      </c>
      <c r="B2941" t="inlineStr">
        <is>
          <t>3:12</t>
        </is>
      </c>
      <c r="C2941" t="inlineStr">
        <is>
          <t>and the passion that drives
restoration champions,</t>
        </is>
      </c>
      <c r="D2941">
        <f>HYPERLINK("https://www.youtube.com/watch?v=0VP-CjYHqJA&amp;t=192s", "Go to time")</f>
        <v/>
      </c>
    </row>
    <row r="2942">
      <c r="A2942">
        <f>HYPERLINK("https://www.youtube.com/watch?v=3DdSiJB8Bo0", "Video")</f>
        <v/>
      </c>
      <c r="B2942" t="inlineStr">
        <is>
          <t>4:03</t>
        </is>
      </c>
      <c r="C2942" t="inlineStr">
        <is>
          <t>as being unremittingly
financially driven -- business speak,</t>
        </is>
      </c>
      <c r="D2942">
        <f>HYPERLINK("https://www.youtube.com/watch?v=3DdSiJB8Bo0&amp;t=243s", "Go to time")</f>
        <v/>
      </c>
    </row>
    <row r="2943">
      <c r="A2943">
        <f>HYPERLINK("https://www.youtube.com/watch?v=BcgDvEdGEXg", "Video")</f>
        <v/>
      </c>
      <c r="B2943" t="inlineStr">
        <is>
          <t>7:31</t>
        </is>
      </c>
      <c r="C2943" t="inlineStr">
        <is>
          <t>and those are the things
that you want to drive.</t>
        </is>
      </c>
      <c r="D2943">
        <f>HYPERLINK("https://www.youtube.com/watch?v=BcgDvEdGEXg&amp;t=451s", "Go to time")</f>
        <v/>
      </c>
    </row>
    <row r="2944">
      <c r="A2944">
        <f>HYPERLINK("https://www.youtube.com/watch?v=BcgDvEdGEXg", "Video")</f>
        <v/>
      </c>
      <c r="B2944" t="inlineStr">
        <is>
          <t>8:18</t>
        </is>
      </c>
      <c r="C2944" t="inlineStr">
        <is>
          <t>Is this really the number
that we want people to drive up?</t>
        </is>
      </c>
      <c r="D2944">
        <f>HYPERLINK("https://www.youtube.com/watch?v=BcgDvEdGEXg&amp;t=498s", "Go to time")</f>
        <v/>
      </c>
    </row>
    <row r="2945">
      <c r="A2945">
        <f>HYPERLINK("https://www.youtube.com/watch?v=Pgq_CODucg0", "Video")</f>
        <v/>
      </c>
      <c r="B2945" t="inlineStr">
        <is>
          <t>2:33</t>
        </is>
      </c>
      <c r="C2945" t="inlineStr">
        <is>
          <t>and they'll want to drive
to work and cool their homes.</t>
        </is>
      </c>
      <c r="D2945">
        <f>HYPERLINK("https://www.youtube.com/watch?v=Pgq_CODucg0&amp;t=153s", "Go to time")</f>
        <v/>
      </c>
    </row>
    <row r="2946">
      <c r="A2946">
        <f>HYPERLINK("https://www.youtube.com/watch?v=VLDwh4ivNf4", "Video")</f>
        <v/>
      </c>
      <c r="B2946" t="inlineStr">
        <is>
          <t>8:43</t>
        </is>
      </c>
      <c r="C2946" t="inlineStr">
        <is>
          <t>that drive and control and influence
their over-the-top risk-taking.</t>
        </is>
      </c>
      <c r="D2946">
        <f>HYPERLINK("https://www.youtube.com/watch?v=VLDwh4ivNf4&amp;t=523s", "Go to time")</f>
        <v/>
      </c>
    </row>
    <row r="2947">
      <c r="A2947">
        <f>HYPERLINK("https://www.youtube.com/watch?v=6-eYu0fCtU8", "Video")</f>
        <v/>
      </c>
      <c r="B2947" t="inlineStr">
        <is>
          <t>0:52</t>
        </is>
      </c>
      <c r="C2947" t="inlineStr">
        <is>
          <t>My supermom would drive us all over town</t>
        </is>
      </c>
      <c r="D2947">
        <f>HYPERLINK("https://www.youtube.com/watch?v=6-eYu0fCtU8&amp;t=52s", "Go to time")</f>
        <v/>
      </c>
    </row>
    <row r="2948">
      <c r="A2948">
        <f>HYPERLINK("https://www.youtube.com/watch?v=6-eYu0fCtU8", "Video")</f>
        <v/>
      </c>
      <c r="B2948" t="inlineStr">
        <is>
          <t>3:10</t>
        </is>
      </c>
      <c r="C2948" t="inlineStr">
        <is>
          <t>I was driven by this
kind of impulsive curiosity,</t>
        </is>
      </c>
      <c r="D2948">
        <f>HYPERLINK("https://www.youtube.com/watch?v=6-eYu0fCtU8&amp;t=190s", "Go to time")</f>
        <v/>
      </c>
    </row>
    <row r="2949">
      <c r="A2949">
        <f>HYPERLINK("https://www.youtube.com/watch?v=6-eYu0fCtU8", "Video")</f>
        <v/>
      </c>
      <c r="B2949" t="inlineStr">
        <is>
          <t>6:04</t>
        </is>
      </c>
      <c r="C2949" t="inlineStr">
        <is>
          <t>and we'd be so glad to hear
his car coming up the driveway.</t>
        </is>
      </c>
      <c r="D2949">
        <f>HYPERLINK("https://www.youtube.com/watch?v=6-eYu0fCtU8&amp;t=364s", "Go to time")</f>
        <v/>
      </c>
    </row>
    <row r="2950">
      <c r="A2950">
        <f>HYPERLINK("https://www.youtube.com/watch?v=O4F40SsEFyY", "Video")</f>
        <v/>
      </c>
      <c r="B2950" t="inlineStr">
        <is>
          <t>4:15</t>
        </is>
      </c>
      <c r="C2950" t="inlineStr">
        <is>
          <t>to drive carrots around
in her mom's Acura?</t>
        </is>
      </c>
      <c r="D2950">
        <f>HYPERLINK("https://www.youtube.com/watch?v=O4F40SsEFyY&amp;t=255s", "Go to time")</f>
        <v/>
      </c>
    </row>
    <row r="2951">
      <c r="A2951">
        <f>HYPERLINK("https://www.youtube.com/watch?v=HDjM5lw8OYo", "Video")</f>
        <v/>
      </c>
      <c r="B2951" t="inlineStr">
        <is>
          <t>1:32</t>
        </is>
      </c>
      <c r="C2951" t="inlineStr">
        <is>
          <t>One reason for that is, the data
analytics that drive the internet</t>
        </is>
      </c>
      <c r="D2951">
        <f>HYPERLINK("https://www.youtube.com/watch?v=HDjM5lw8OYo&amp;t=92s", "Go to time")</f>
        <v/>
      </c>
    </row>
    <row r="2952">
      <c r="A2952">
        <f>HYPERLINK("https://www.youtube.com/watch?v=SMnKboI4fvY", "Video")</f>
        <v/>
      </c>
      <c r="B2952" t="inlineStr">
        <is>
          <t>8:18</t>
        </is>
      </c>
      <c r="C2952" t="inlineStr">
        <is>
          <t>So I'd obsessively drive up and down
familiar streets that I'd grown up on,</t>
        </is>
      </c>
      <c r="D2952">
        <f>HYPERLINK("https://www.youtube.com/watch?v=SMnKboI4fvY&amp;t=498s", "Go to time")</f>
        <v/>
      </c>
    </row>
    <row r="2953">
      <c r="A2953">
        <f>HYPERLINK("https://www.youtube.com/watch?v=SMnKboI4fvY", "Video")</f>
        <v/>
      </c>
      <c r="B2953" t="inlineStr">
        <is>
          <t>9:33</t>
        </is>
      </c>
      <c r="C2953" t="inlineStr">
        <is>
          <t>a driver asked as I was taking
this image one day.</t>
        </is>
      </c>
      <c r="D2953">
        <f>HYPERLINK("https://www.youtube.com/watch?v=SMnKboI4fvY&amp;t=573s", "Go to time")</f>
        <v/>
      </c>
    </row>
    <row r="2954">
      <c r="A2954">
        <f>HYPERLINK("https://www.youtube.com/watch?v=wBRqxBvBWQE", "Video")</f>
        <v/>
      </c>
      <c r="B2954" t="inlineStr">
        <is>
          <t>1:43</t>
        </is>
      </c>
      <c r="C2954" t="inlineStr">
        <is>
          <t>I personally got involved
in the transparency drive</t>
        </is>
      </c>
      <c r="D2954">
        <f>HYPERLINK("https://www.youtube.com/watch?v=wBRqxBvBWQE&amp;t=103s", "Go to time")</f>
        <v/>
      </c>
    </row>
    <row r="2955">
      <c r="A2955">
        <f>HYPERLINK("https://www.youtube.com/watch?v=bjhvoNlTn60", "Video")</f>
        <v/>
      </c>
      <c r="B2955" t="inlineStr">
        <is>
          <t>4:32</t>
        </is>
      </c>
      <c r="C2955" t="inlineStr">
        <is>
          <t>such as malaria, Zika,
and even treat dengue with gene drives.</t>
        </is>
      </c>
      <c r="D2955">
        <f>HYPERLINK("https://www.youtube.com/watch?v=bjhvoNlTn60&amp;t=272s", "Go to time")</f>
        <v/>
      </c>
    </row>
    <row r="2956">
      <c r="A2956">
        <f>HYPERLINK("https://www.youtube.com/watch?v=t6XLYx4se-Q", "Video")</f>
        <v/>
      </c>
      <c r="B2956" t="inlineStr">
        <is>
          <t>5:38</t>
        </is>
      </c>
      <c r="C2956" t="inlineStr">
        <is>
          <t>our social, and our day-to-day behaviors
drive most of our risk for disease</t>
        </is>
      </c>
      <c r="D2956">
        <f>HYPERLINK("https://www.youtube.com/watch?v=t6XLYx4se-Q&amp;t=338s", "Go to time")</f>
        <v/>
      </c>
    </row>
    <row r="2957">
      <c r="A2957">
        <f>HYPERLINK("https://www.youtube.com/watch?v=qaIghx4QRN4", "Video")</f>
        <v/>
      </c>
      <c r="B2957" t="inlineStr">
        <is>
          <t>2:19</t>
        </is>
      </c>
      <c r="C2957" t="inlineStr">
        <is>
          <t>I'm not talking wormholes
or warp drives -- whatever --</t>
        </is>
      </c>
      <c r="D2957">
        <f>HYPERLINK("https://www.youtube.com/watch?v=qaIghx4QRN4&amp;t=139s", "Go to time")</f>
        <v/>
      </c>
    </row>
    <row r="2958">
      <c r="A2958">
        <f>HYPERLINK("https://www.youtube.com/watch?v=ItGGGN4jeYE", "Video")</f>
        <v/>
      </c>
      <c r="B2958" t="inlineStr">
        <is>
          <t>5:45</t>
        </is>
      </c>
      <c r="C2958" t="inlineStr">
        <is>
          <t>I was able to drive my power chair freely</t>
        </is>
      </c>
      <c r="D2958">
        <f>HYPERLINK("https://www.youtube.com/watch?v=ItGGGN4jeYE&amp;t=345s", "Go to time")</f>
        <v/>
      </c>
    </row>
    <row r="2959">
      <c r="A2959">
        <f>HYPERLINK("https://www.youtube.com/watch?v=BzeTjn0R2VY", "Video")</f>
        <v/>
      </c>
      <c r="B2959" t="inlineStr">
        <is>
          <t>4:24</t>
        </is>
      </c>
      <c r="C2959" t="inlineStr">
        <is>
          <t>and slow drivers,</t>
        </is>
      </c>
      <c r="D2959">
        <f>HYPERLINK("https://www.youtube.com/watch?v=BzeTjn0R2VY&amp;t=264s", "Go to time")</f>
        <v/>
      </c>
    </row>
    <row r="2960">
      <c r="A2960">
        <f>HYPERLINK("https://www.youtube.com/watch?v=BzeTjn0R2VY", "Video")</f>
        <v/>
      </c>
      <c r="B2960" t="inlineStr">
        <is>
          <t>4:26</t>
        </is>
      </c>
      <c r="C2960" t="inlineStr">
        <is>
          <t>because I really hate slow drivers.</t>
        </is>
      </c>
      <c r="D2960">
        <f>HYPERLINK("https://www.youtube.com/watch?v=BzeTjn0R2VY&amp;t=266s", "Go to time")</f>
        <v/>
      </c>
    </row>
    <row r="2961">
      <c r="A2961">
        <f>HYPERLINK("https://www.youtube.com/watch?v=3vJ4-UH38dQ", "Video")</f>
        <v/>
      </c>
      <c r="B2961" t="inlineStr">
        <is>
          <t>10:58</t>
        </is>
      </c>
      <c r="C2961" t="inlineStr">
        <is>
          <t>load them into milk cartons,
and drive around the city,</t>
        </is>
      </c>
      <c r="D2961">
        <f>HYPERLINK("https://www.youtube.com/watch?v=3vJ4-UH38dQ&amp;t=658s", "Go to time")</f>
        <v/>
      </c>
    </row>
    <row r="2962">
      <c r="A2962">
        <f>HYPERLINK("https://www.youtube.com/watch?v=VRAlpK8IGLE", "Video")</f>
        <v/>
      </c>
      <c r="B2962" t="inlineStr">
        <is>
          <t>2:46</t>
        </is>
      </c>
      <c r="C2962" t="inlineStr">
        <is>
          <t>Employees have more time to interact
with customers and drive spending.</t>
        </is>
      </c>
      <c r="D2962">
        <f>HYPERLINK("https://www.youtube.com/watch?v=VRAlpK8IGLE&amp;t=166s", "Go to time")</f>
        <v/>
      </c>
    </row>
    <row r="2963">
      <c r="A2963">
        <f>HYPERLINK("https://www.youtube.com/watch?v=MjpO66YdP2s", "Video")</f>
        <v/>
      </c>
      <c r="B2963" t="inlineStr">
        <is>
          <t>0:16</t>
        </is>
      </c>
      <c r="C2963" t="inlineStr">
        <is>
          <t>who really has been the driver of TED
for the whole first part of that voyage,</t>
        </is>
      </c>
      <c r="D2963">
        <f>HYPERLINK("https://www.youtube.com/watch?v=MjpO66YdP2s&amp;t=16s", "Go to time")</f>
        <v/>
      </c>
    </row>
    <row r="2964">
      <c r="A2964">
        <f>HYPERLINK("https://www.youtube.com/watch?v=MjpO66YdP2s", "Video")</f>
        <v/>
      </c>
      <c r="B2964" t="inlineStr">
        <is>
          <t>31:44</t>
        </is>
      </c>
      <c r="C2964" t="inlineStr">
        <is>
          <t>we’re an entrepreneurial-driven company.</t>
        </is>
      </c>
      <c r="D2964">
        <f>HYPERLINK("https://www.youtube.com/watch?v=MjpO66YdP2s&amp;t=1904s", "Go to time")</f>
        <v/>
      </c>
    </row>
    <row r="2965">
      <c r="A2965">
        <f>HYPERLINK("https://www.youtube.com/watch?v=51k3UASQE5E", "Video")</f>
        <v/>
      </c>
      <c r="B2965" t="inlineStr">
        <is>
          <t>8:42</t>
        </is>
      </c>
      <c r="C2965" t="inlineStr">
        <is>
          <t>Their hopefulness really is
what drives them to come forward.</t>
        </is>
      </c>
      <c r="D2965">
        <f>HYPERLINK("https://www.youtube.com/watch?v=51k3UASQE5E&amp;t=522s", "Go to time")</f>
        <v/>
      </c>
    </row>
    <row r="2966">
      <c r="A2966">
        <f>HYPERLINK("https://www.youtube.com/watch?v=3zJHwOwirjA", "Video")</f>
        <v/>
      </c>
      <c r="B2966" t="inlineStr">
        <is>
          <t>1:53</t>
        </is>
      </c>
      <c r="C2966" t="inlineStr">
        <is>
          <t>We walk up the driveway,
because there are cars coming up,</t>
        </is>
      </c>
      <c r="D2966">
        <f>HYPERLINK("https://www.youtube.com/watch?v=3zJHwOwirjA&amp;t=113s", "Go to time")</f>
        <v/>
      </c>
    </row>
    <row r="2967">
      <c r="A2967">
        <f>HYPERLINK("https://www.youtube.com/watch?v=NDQ1Mi5I4rg", "Video")</f>
        <v/>
      </c>
      <c r="B2967" t="inlineStr">
        <is>
          <t>0:54</t>
        </is>
      </c>
      <c r="C2967" t="inlineStr">
        <is>
          <t>Because how we deal
with our inner world drives everything.</t>
        </is>
      </c>
      <c r="D2967">
        <f>HYPERLINK("https://www.youtube.com/watch?v=NDQ1Mi5I4rg&amp;t=54s", "Go to time")</f>
        <v/>
      </c>
    </row>
    <row r="2968">
      <c r="A2968">
        <f>HYPERLINK("https://www.youtube.com/watch?v=Q69o7mr-0S4", "Video")</f>
        <v/>
      </c>
      <c r="B2968" t="inlineStr">
        <is>
          <t>5:21</t>
        </is>
      </c>
      <c r="C2968" t="inlineStr">
        <is>
          <t>I hope that you consider
signing your driver's license</t>
        </is>
      </c>
      <c r="D2968">
        <f>HYPERLINK("https://www.youtube.com/watch?v=Q69o7mr-0S4&amp;t=321s", "Go to time")</f>
        <v/>
      </c>
    </row>
    <row r="2969">
      <c r="A2969">
        <f>HYPERLINK("https://www.youtube.com/watch?v=6UeaxsubJ70", "Video")</f>
        <v/>
      </c>
      <c r="B2969" t="inlineStr">
        <is>
          <t>6:01</t>
        </is>
      </c>
      <c r="C2969" t="inlineStr">
        <is>
          <t>And so to that, I just really want
to drive home the point</t>
        </is>
      </c>
      <c r="D2969">
        <f>HYPERLINK("https://www.youtube.com/watch?v=6UeaxsubJ70&amp;t=361s", "Go to time")</f>
        <v/>
      </c>
    </row>
    <row r="2970">
      <c r="A2970">
        <f>HYPERLINK("https://www.youtube.com/watch?v=6UeaxsubJ70", "Video")</f>
        <v/>
      </c>
      <c r="B2970" t="inlineStr">
        <is>
          <t>7:07</t>
        </is>
      </c>
      <c r="C2970" t="inlineStr">
        <is>
          <t>We have to think about living
our lives with value-driven choices.</t>
        </is>
      </c>
      <c r="D2970">
        <f>HYPERLINK("https://www.youtube.com/watch?v=6UeaxsubJ70&amp;t=427s", "Go to time")</f>
        <v/>
      </c>
    </row>
    <row r="2971">
      <c r="A2971">
        <f>HYPERLINK("https://www.youtube.com/watch?v=6UeaxsubJ70", "Video")</f>
        <v/>
      </c>
      <c r="B2971" t="inlineStr">
        <is>
          <t>9:01</t>
        </is>
      </c>
      <c r="C2971" t="inlineStr">
        <is>
          <t>SKK: You know, I'm going
to drive home the same point,</t>
        </is>
      </c>
      <c r="D2971">
        <f>HYPERLINK("https://www.youtube.com/watch?v=6UeaxsubJ70&amp;t=541s", "Go to time")</f>
        <v/>
      </c>
    </row>
    <row r="2972">
      <c r="A2972">
        <f>HYPERLINK("https://www.youtube.com/watch?v=rWTwcySGvrE", "Video")</f>
        <v/>
      </c>
      <c r="B2972" t="inlineStr">
        <is>
          <t>1:44</t>
        </is>
      </c>
      <c r="C2972" t="inlineStr">
        <is>
          <t>push boundaries, drive culture.</t>
        </is>
      </c>
      <c r="D2972">
        <f>HYPERLINK("https://www.youtube.com/watch?v=rWTwcySGvrE&amp;t=104s", "Go to time")</f>
        <v/>
      </c>
    </row>
    <row r="2973">
      <c r="A2973">
        <f>HYPERLINK("https://www.youtube.com/watch?v=MsKU2BY6yHQ", "Video")</f>
        <v/>
      </c>
      <c r="B2973" t="inlineStr">
        <is>
          <t>3:46</t>
        </is>
      </c>
      <c r="C2973" t="inlineStr">
        <is>
          <t>Paul Newman, actor, race car driver,</t>
        </is>
      </c>
      <c r="D2973">
        <f>HYPERLINK("https://www.youtube.com/watch?v=MsKU2BY6yHQ&amp;t=226s", "Go to time")</f>
        <v/>
      </c>
    </row>
    <row r="2974">
      <c r="A2974">
        <f>HYPERLINK("https://www.youtube.com/watch?v=MsKU2BY6yHQ", "Video")</f>
        <v/>
      </c>
      <c r="B2974" t="inlineStr">
        <is>
          <t>10:26</t>
        </is>
      </c>
      <c r="C2974" t="inlineStr">
        <is>
          <t>say they would switch to a new product
from a purpose-driven company.</t>
        </is>
      </c>
      <c r="D2974">
        <f>HYPERLINK("https://www.youtube.com/watch?v=MsKU2BY6yHQ&amp;t=626s", "Go to time")</f>
        <v/>
      </c>
    </row>
    <row r="2975">
      <c r="A2975">
        <f>HYPERLINK("https://www.youtube.com/watch?v=4OXhOXULEbA", "Video")</f>
        <v/>
      </c>
      <c r="B2975" t="inlineStr">
        <is>
          <t>7:24</t>
        </is>
      </c>
      <c r="C2975" t="inlineStr">
        <is>
          <t>which is a driver-owned taxi platform
with some 3,500 drivers</t>
        </is>
      </c>
      <c r="D2975">
        <f>HYPERLINK("https://www.youtube.com/watch?v=4OXhOXULEbA&amp;t=444s", "Go to time")</f>
        <v/>
      </c>
    </row>
    <row r="2976">
      <c r="A2976">
        <f>HYPERLINK("https://www.youtube.com/watch?v=4OXhOXULEbA", "Video")</f>
        <v/>
      </c>
      <c r="B2976" t="inlineStr">
        <is>
          <t>7:35</t>
        </is>
      </c>
      <c r="C2976" t="inlineStr">
        <is>
          <t>than the drivers on these large
ride-hailing platforms.</t>
        </is>
      </c>
      <c r="D2976">
        <f>HYPERLINK("https://www.youtube.com/watch?v=4OXhOXULEbA&amp;t=455s", "Go to time")</f>
        <v/>
      </c>
    </row>
    <row r="2977">
      <c r="A2977">
        <f>HYPERLINK("https://www.youtube.com/watch?v=9KvZy09vaNg", "Video")</f>
        <v/>
      </c>
      <c r="B2977" t="inlineStr">
        <is>
          <t>9:23</t>
        </is>
      </c>
      <c r="C2977" t="inlineStr">
        <is>
          <t>So next time you're with a cab driver
who may be one of "Them,"</t>
        </is>
      </c>
      <c r="D2977">
        <f>HYPERLINK("https://www.youtube.com/watch?v=9KvZy09vaNg&amp;t=563s", "Go to time")</f>
        <v/>
      </c>
    </row>
    <row r="2978">
      <c r="A2978">
        <f>HYPERLINK("https://www.youtube.com/watch?v=Dar8P3r7GYA", "Video")</f>
        <v/>
      </c>
      <c r="B2978" t="inlineStr">
        <is>
          <t>5:45</t>
        </is>
      </c>
      <c r="C2978" t="inlineStr">
        <is>
          <t>so we really were able to let physics
drive the design of these systems.</t>
        </is>
      </c>
      <c r="D2978">
        <f>HYPERLINK("https://www.youtube.com/watch?v=Dar8P3r7GYA&amp;t=345s", "Go to time")</f>
        <v/>
      </c>
    </row>
    <row r="2979">
      <c r="A2979">
        <f>HYPERLINK("https://www.youtube.com/watch?v=Dar8P3r7GYA", "Video")</f>
        <v/>
      </c>
      <c r="B2979" t="inlineStr">
        <is>
          <t>5:52</t>
        </is>
      </c>
      <c r="C2979" t="inlineStr">
        <is>
          <t>That last phrase you said there,
you let physics drive the design,</t>
        </is>
      </c>
      <c r="D2979">
        <f>HYPERLINK("https://www.youtube.com/watch?v=Dar8P3r7GYA&amp;t=352s", "Go to time")</f>
        <v/>
      </c>
    </row>
    <row r="2980">
      <c r="A2980">
        <f>HYPERLINK("https://www.youtube.com/watch?v=Dar8P3r7GYA", "Video")</f>
        <v/>
      </c>
      <c r="B2980" t="inlineStr">
        <is>
          <t>7:12</t>
        </is>
      </c>
      <c r="C2980" t="inlineStr">
        <is>
          <t>he drives you to do your best work.</t>
        </is>
      </c>
      <c r="D2980">
        <f>HYPERLINK("https://www.youtube.com/watch?v=Dar8P3r7GYA&amp;t=432s", "Go to time")</f>
        <v/>
      </c>
    </row>
    <row r="2981">
      <c r="A2981">
        <f>HYPERLINK("https://www.youtube.com/watch?v=Dar8P3r7GYA", "Video")</f>
        <v/>
      </c>
      <c r="B2981" t="inlineStr">
        <is>
          <t>7:34</t>
        </is>
      </c>
      <c r="C2981" t="inlineStr">
        <is>
          <t>when Tesla would
auto-drive across America,</t>
        </is>
      </c>
      <c r="D2981">
        <f>HYPERLINK("https://www.youtube.com/watch?v=Dar8P3r7GYA&amp;t=454s", "Go to time")</f>
        <v/>
      </c>
    </row>
    <row r="2982">
      <c r="A2982">
        <f>HYPERLINK("https://www.youtube.com/watch?v=Dar8P3r7GYA", "Video")</f>
        <v/>
      </c>
      <c r="B2982" t="inlineStr">
        <is>
          <t>7:56</t>
        </is>
      </c>
      <c r="C2982" t="inlineStr">
        <is>
          <t>but frankly, that drives us
to do things better and faster.</t>
        </is>
      </c>
      <c r="D2982">
        <f>HYPERLINK("https://www.youtube.com/watch?v=Dar8P3r7GYA&amp;t=476s", "Go to time")</f>
        <v/>
      </c>
    </row>
    <row r="2983">
      <c r="A2983">
        <f>HYPERLINK("https://www.youtube.com/watch?v=441nwncPN28", "Video")</f>
        <v/>
      </c>
      <c r="B2983" t="inlineStr">
        <is>
          <t>1:16</t>
        </is>
      </c>
      <c r="C2983" t="inlineStr">
        <is>
          <t>it will become the world's
largest community-driven</t>
        </is>
      </c>
      <c r="D2983">
        <f>HYPERLINK("https://www.youtube.com/watch?v=441nwncPN28&amp;t=76s", "Go to time")</f>
        <v/>
      </c>
    </row>
    <row r="2984">
      <c r="A2984">
        <f>HYPERLINK("https://www.youtube.com/watch?v=oIzinzHQcWg", "Video")</f>
        <v/>
      </c>
      <c r="B2984" t="inlineStr">
        <is>
          <t>3:35</t>
        </is>
      </c>
      <c r="C2984" t="inlineStr">
        <is>
          <t>So you can start to imagine
the kinds of systems that might drive</t>
        </is>
      </c>
      <c r="D2984">
        <f>HYPERLINK("https://www.youtube.com/watch?v=oIzinzHQcWg&amp;t=215s", "Go to time")</f>
        <v/>
      </c>
    </row>
    <row r="2985">
      <c r="A2985">
        <f>HYPERLINK("https://www.youtube.com/watch?v=UXElAVBiXXs", "Video")</f>
        <v/>
      </c>
      <c r="B2985" t="inlineStr">
        <is>
          <t>14:27</t>
        </is>
      </c>
      <c r="C2985" t="inlineStr">
        <is>
          <t>maybe you can drive around in your car
and turn off the podcast and the news</t>
        </is>
      </c>
      <c r="D2985">
        <f>HYPERLINK("https://www.youtube.com/watch?v=UXElAVBiXXs&amp;t=867s", "Go to time")</f>
        <v/>
      </c>
    </row>
    <row r="2986">
      <c r="A2986">
        <f>HYPERLINK("https://www.youtube.com/watch?v=7YoLMG2qja4", "Video")</f>
        <v/>
      </c>
      <c r="B2986" t="inlineStr">
        <is>
          <t>3:33</t>
        </is>
      </c>
      <c r="C2986" t="inlineStr">
        <is>
          <t>As you drive around the United States,
you see signs on lawns.</t>
        </is>
      </c>
      <c r="D2986">
        <f>HYPERLINK("https://www.youtube.com/watch?v=7YoLMG2qja4&amp;t=213s", "Go to time")</f>
        <v/>
      </c>
    </row>
    <row r="2987">
      <c r="A2987">
        <f>HYPERLINK("https://www.youtube.com/watch?v=qN8vzlcYAE8", "Video")</f>
        <v/>
      </c>
      <c r="B2987" t="inlineStr">
        <is>
          <t>5:58</t>
        </is>
      </c>
      <c r="C2987" t="inlineStr">
        <is>
          <t>Now, once we controlled for the
environmental drivers of tree growth --</t>
        </is>
      </c>
      <c r="D2987">
        <f>HYPERLINK("https://www.youtube.com/watch?v=qN8vzlcYAE8&amp;t=358s", "Go to time")</f>
        <v/>
      </c>
    </row>
    <row r="2988">
      <c r="A2988">
        <f>HYPERLINK("https://www.youtube.com/watch?v=qN8vzlcYAE8", "Video")</f>
        <v/>
      </c>
      <c r="B2988" t="inlineStr">
        <is>
          <t>6:40</t>
        </is>
      </c>
      <c r="C2988" t="inlineStr">
        <is>
          <t>And furthermore,
these patterns were not driven</t>
        </is>
      </c>
      <c r="D2988">
        <f>HYPERLINK("https://www.youtube.com/watch?v=qN8vzlcYAE8&amp;t=400s", "Go to time")</f>
        <v/>
      </c>
    </row>
    <row r="2989">
      <c r="A2989">
        <f>HYPERLINK("https://www.youtube.com/watch?v=qN8vzlcYAE8", "Video")</f>
        <v/>
      </c>
      <c r="B2989" t="inlineStr">
        <is>
          <t>6:48</t>
        </is>
      </c>
      <c r="C2989" t="inlineStr">
        <is>
          <t>but instead, they were driven
by biodiverse and completely different</t>
        </is>
      </c>
      <c r="D2989">
        <f>HYPERLINK("https://www.youtube.com/watch?v=qN8vzlcYAE8&amp;t=408s", "Go to time")</f>
        <v/>
      </c>
    </row>
    <row r="2990">
      <c r="A2990">
        <f>HYPERLINK("https://www.youtube.com/watch?v=PveLQRApahs", "Video")</f>
        <v/>
      </c>
      <c r="B2990" t="inlineStr">
        <is>
          <t>2:58</t>
        </is>
      </c>
      <c r="C2990" t="inlineStr">
        <is>
          <t>Construction for many women
is purpose-driven work,</t>
        </is>
      </c>
      <c r="D2990">
        <f>HYPERLINK("https://www.youtube.com/watch?v=PveLQRApahs&amp;t=178s", "Go to time")</f>
        <v/>
      </c>
    </row>
    <row r="2991">
      <c r="A2991">
        <f>HYPERLINK("https://www.youtube.com/watch?v=7Lc_dlVrg5M", "Video")</f>
        <v/>
      </c>
      <c r="B2991" t="inlineStr">
        <is>
          <t>2:46</t>
        </is>
      </c>
      <c r="C2991" t="inlineStr">
        <is>
          <t>all development in Bhutan
is driven by GNH,</t>
        </is>
      </c>
      <c r="D2991">
        <f>HYPERLINK("https://www.youtube.com/watch?v=7Lc_dlVrg5M&amp;t=166s", "Go to time")</f>
        <v/>
      </c>
    </row>
    <row r="2992">
      <c r="A2992">
        <f>HYPERLINK("https://www.youtube.com/watch?v=oYsDNpi_qPQ", "Video")</f>
        <v/>
      </c>
      <c r="B2992" t="inlineStr">
        <is>
          <t>1:38</t>
        </is>
      </c>
      <c r="C2992" t="inlineStr">
        <is>
          <t>driven even higher
by the current energy crisis.</t>
        </is>
      </c>
      <c r="D2992">
        <f>HYPERLINK("https://www.youtube.com/watch?v=oYsDNpi_qPQ&amp;t=98s", "Go to time")</f>
        <v/>
      </c>
    </row>
    <row r="2993">
      <c r="A2993">
        <f>HYPERLINK("https://www.youtube.com/watch?v=E_fB_s_TC5k", "Video")</f>
        <v/>
      </c>
      <c r="B2993" t="inlineStr">
        <is>
          <t>1:30</t>
        </is>
      </c>
      <c r="C2993" t="inlineStr">
        <is>
          <t>use the idea of building relationships
as the key driver for design.</t>
        </is>
      </c>
      <c r="D2993">
        <f>HYPERLINK("https://www.youtube.com/watch?v=E_fB_s_TC5k&amp;t=90s", "Go to time")</f>
        <v/>
      </c>
    </row>
    <row r="2994">
      <c r="A2994">
        <f>HYPERLINK("https://www.youtube.com/watch?v=E_fB_s_TC5k", "Video")</f>
        <v/>
      </c>
      <c r="B2994" t="inlineStr">
        <is>
          <t>10:27</t>
        </is>
      </c>
      <c r="C2994" t="inlineStr">
        <is>
          <t>or renew your driver's license</t>
        </is>
      </c>
      <c r="D2994">
        <f>HYPERLINK("https://www.youtube.com/watch?v=E_fB_s_TC5k&amp;t=627s", "Go to time")</f>
        <v/>
      </c>
    </row>
    <row r="2995">
      <c r="A2995">
        <f>HYPERLINK("https://www.youtube.com/watch?v=Xj_VDOZjds8", "Video")</f>
        <v/>
      </c>
      <c r="B2995" t="inlineStr">
        <is>
          <t>2:17</t>
        </is>
      </c>
      <c r="C2995" t="inlineStr">
        <is>
          <t>and the cab driver
gave it to the authorities.</t>
        </is>
      </c>
      <c r="D2995">
        <f>HYPERLINK("https://www.youtube.com/watch?v=Xj_VDOZjds8&amp;t=137s", "Go to time")</f>
        <v/>
      </c>
    </row>
    <row r="2996">
      <c r="A2996">
        <f>HYPERLINK("https://www.youtube.com/watch?v=_H4C-08GkKo", "Video")</f>
        <v/>
      </c>
      <c r="B2996" t="inlineStr">
        <is>
          <t>1:23</t>
        </is>
      </c>
      <c r="C2996" t="inlineStr">
        <is>
          <t>And our drive to know the future
isn't limited to the weather.</t>
        </is>
      </c>
      <c r="D2996">
        <f>HYPERLINK("https://www.youtube.com/watch?v=_H4C-08GkKo&amp;t=83s", "Go to time")</f>
        <v/>
      </c>
    </row>
    <row r="2997">
      <c r="A2997">
        <f>HYPERLINK("https://www.youtube.com/watch?v=KoyG945wlyg", "Video")</f>
        <v/>
      </c>
      <c r="B2997" t="inlineStr">
        <is>
          <t>11:22</t>
        </is>
      </c>
      <c r="C2997" t="inlineStr">
        <is>
          <t>And some of that was driven by profit,</t>
        </is>
      </c>
      <c r="D2997">
        <f>HYPERLINK("https://www.youtube.com/watch?v=KoyG945wlyg&amp;t=682s", "Go to time")</f>
        <v/>
      </c>
    </row>
    <row r="2998">
      <c r="A2998">
        <f>HYPERLINK("https://www.youtube.com/watch?v=KoyG945wlyg", "Video")</f>
        <v/>
      </c>
      <c r="B2998" t="inlineStr">
        <is>
          <t>11:24</t>
        </is>
      </c>
      <c r="C2998" t="inlineStr">
        <is>
          <t>and some of that was driven by need,</t>
        </is>
      </c>
      <c r="D2998">
        <f>HYPERLINK("https://www.youtube.com/watch?v=KoyG945wlyg&amp;t=684s", "Go to time")</f>
        <v/>
      </c>
    </row>
    <row r="2999">
      <c r="A2999">
        <f>HYPERLINK("https://www.youtube.com/watch?v=Sek29hwUjZE", "Video")</f>
        <v/>
      </c>
      <c r="B2999" t="inlineStr">
        <is>
          <t>6:50</t>
        </is>
      </c>
      <c r="C2999" t="inlineStr">
        <is>
          <t>and profit-driven companies
to appropriate the platform</t>
        </is>
      </c>
      <c r="D2999">
        <f>HYPERLINK("https://www.youtube.com/watch?v=Sek29hwUjZE&amp;t=410s", "Go to time")</f>
        <v/>
      </c>
    </row>
    <row r="3000">
      <c r="A3000">
        <f>HYPERLINK("https://www.youtube.com/watch?v=qZjr2CIEflc", "Video")</f>
        <v/>
      </c>
      <c r="B3000" t="inlineStr">
        <is>
          <t>0:17</t>
        </is>
      </c>
      <c r="C3000" t="inlineStr">
        <is>
          <t>In our real estate-driven cities,</t>
        </is>
      </c>
      <c r="D3000">
        <f>HYPERLINK("https://www.youtube.com/watch?v=qZjr2CIEflc&amp;t=17s", "Go to time")</f>
        <v/>
      </c>
    </row>
    <row r="3001">
      <c r="A3001">
        <f>HYPERLINK("https://www.youtube.com/watch?v=bWA1gvA5lxU", "Video")</f>
        <v/>
      </c>
      <c r="B3001" t="inlineStr">
        <is>
          <t>9:18</t>
        </is>
      </c>
      <c r="C3001" t="inlineStr">
        <is>
          <t>Faced with a top-down,
car-driven vision of city life,</t>
        </is>
      </c>
      <c r="D3001">
        <f>HYPERLINK("https://www.youtube.com/watch?v=bWA1gvA5lxU&amp;t=558s", "Go to time")</f>
        <v/>
      </c>
    </row>
    <row r="3002">
      <c r="A3002">
        <f>HYPERLINK("https://www.youtube.com/watch?v=ZmNpeXTj2c4", "Video")</f>
        <v/>
      </c>
      <c r="B3002" t="inlineStr">
        <is>
          <t>0:09</t>
        </is>
      </c>
      <c r="C3002" t="inlineStr">
        <is>
          <t>Or if it's faster to go inside
or a drive-through?</t>
        </is>
      </c>
      <c r="D3002">
        <f>HYPERLINK("https://www.youtube.com/watch?v=ZmNpeXTj2c4&amp;t=9s", "Go to time")</f>
        <v/>
      </c>
    </row>
    <row r="3003">
      <c r="A3003">
        <f>HYPERLINK("https://www.youtube.com/watch?v=ZmNpeXTj2c4", "Video")</f>
        <v/>
      </c>
      <c r="B3003" t="inlineStr">
        <is>
          <t>3:20</t>
        </is>
      </c>
      <c r="C3003" t="inlineStr">
        <is>
          <t>And that's it. We cooked faster
than the drive-through.</t>
        </is>
      </c>
      <c r="D3003">
        <f>HYPERLINK("https://www.youtube.com/watch?v=ZmNpeXTj2c4&amp;t=200s", "Go to time")</f>
        <v/>
      </c>
    </row>
    <row r="3004">
      <c r="A3004">
        <f>HYPERLINK("https://www.youtube.com/watch?v=OPfVCUGxyHs", "Video")</f>
        <v/>
      </c>
      <c r="B3004" t="inlineStr">
        <is>
          <t>0:15</t>
        </is>
      </c>
      <c r="C3004" t="inlineStr">
        <is>
          <t>I'd driven along that road so many times
over the past 18 months,</t>
        </is>
      </c>
      <c r="D3004">
        <f>HYPERLINK("https://www.youtube.com/watch?v=OPfVCUGxyHs&amp;t=15s", "Go to time")</f>
        <v/>
      </c>
    </row>
    <row r="3005">
      <c r="A3005">
        <f>HYPERLINK("https://www.youtube.com/watch?v=50yxXTAHrfc", "Video")</f>
        <v/>
      </c>
      <c r="B3005" t="inlineStr">
        <is>
          <t>11:33</t>
        </is>
      </c>
      <c r="C3005" t="inlineStr">
        <is>
          <t>They use motorized wheelchairs
that they drive with a joystick,</t>
        </is>
      </c>
      <c r="D3005">
        <f>HYPERLINK("https://www.youtube.com/watch?v=50yxXTAHrfc&amp;t=693s", "Go to time")</f>
        <v/>
      </c>
    </row>
    <row r="3006">
      <c r="A3006">
        <f>HYPERLINK("https://www.youtube.com/watch?v=ll5LY7wI_Xc", "Video")</f>
        <v/>
      </c>
      <c r="B3006" t="inlineStr">
        <is>
          <t>7:27</t>
        </is>
      </c>
      <c r="C3006" t="inlineStr">
        <is>
          <t>the driver genomic mutations
of the cancer can be defined,</t>
        </is>
      </c>
      <c r="D3006">
        <f>HYPERLINK("https://www.youtube.com/watch?v=ll5LY7wI_Xc&amp;t=447s", "Go to time")</f>
        <v/>
      </c>
    </row>
    <row r="3007">
      <c r="A3007">
        <f>HYPERLINK("https://www.youtube.com/watch?v=ll5LY7wI_Xc", "Video")</f>
        <v/>
      </c>
      <c r="B3007" t="inlineStr">
        <is>
          <t>9:46</t>
        </is>
      </c>
      <c r="C3007" t="inlineStr">
        <is>
          <t>that are driven,
derived from the conversation,</t>
        </is>
      </c>
      <c r="D3007">
        <f>HYPERLINK("https://www.youtube.com/watch?v=ll5LY7wI_Xc&amp;t=586s", "Go to time")</f>
        <v/>
      </c>
    </row>
    <row r="3008">
      <c r="A3008">
        <f>HYPERLINK("https://www.youtube.com/watch?v=yCm9Ng0bbEQ", "Video")</f>
        <v/>
      </c>
      <c r="B3008" t="inlineStr">
        <is>
          <t>14:09</t>
        </is>
      </c>
      <c r="C3008" t="inlineStr">
        <is>
          <t>Admittedly, it's not easy
to replicate my own data-driven epiphany</t>
        </is>
      </c>
      <c r="D3008">
        <f>HYPERLINK("https://www.youtube.com/watch?v=yCm9Ng0bbEQ&amp;t=849s", "Go to time")</f>
        <v/>
      </c>
    </row>
    <row r="3009">
      <c r="A3009">
        <f>HYPERLINK("https://www.youtube.com/watch?v=-T3k6s7bev8", "Video")</f>
        <v/>
      </c>
      <c r="B3009" t="inlineStr">
        <is>
          <t>14:29</t>
        </is>
      </c>
      <c r="C3009" t="inlineStr">
        <is>
          <t>is you have the power to put
a gene drive into mosquitoes</t>
        </is>
      </c>
      <c r="D3009">
        <f>HYPERLINK("https://www.youtube.com/watch?v=-T3k6s7bev8&amp;t=869s", "Go to time")</f>
        <v/>
      </c>
    </row>
    <row r="3010">
      <c r="A3010">
        <f>HYPERLINK("https://www.youtube.com/watch?v=-T3k6s7bev8", "Video")</f>
        <v/>
      </c>
      <c r="B3010" t="inlineStr">
        <is>
          <t>15:07</t>
        </is>
      </c>
      <c r="C3010" t="inlineStr">
        <is>
          <t>when you put a gene drive into the air.</t>
        </is>
      </c>
      <c r="D3010">
        <f>HYPERLINK("https://www.youtube.com/watch?v=-T3k6s7bev8&amp;t=907s", "Go to time")</f>
        <v/>
      </c>
    </row>
    <row r="3011">
      <c r="A3011">
        <f>HYPERLINK("https://www.youtube.com/watch?v=EAU5D8hqIUI", "Video")</f>
        <v/>
      </c>
      <c r="B3011" t="inlineStr">
        <is>
          <t>13:07</t>
        </is>
      </c>
      <c r="C3011" t="inlineStr">
        <is>
          <t>as part of the energy crisis
driven by the war on Ukraine.</t>
        </is>
      </c>
      <c r="D3011">
        <f>HYPERLINK("https://www.youtube.com/watch?v=EAU5D8hqIUI&amp;t=787s", "Go to time")</f>
        <v/>
      </c>
    </row>
    <row r="3012">
      <c r="A3012">
        <f>HYPERLINK("https://www.youtube.com/watch?v=cUdl-Cp-LWw", "Video")</f>
        <v/>
      </c>
      <c r="B3012" t="inlineStr">
        <is>
          <t>6:22</t>
        </is>
      </c>
      <c r="C3012" t="inlineStr">
        <is>
          <t>So you might order some some nail polish
and an electric screwdriver.</t>
        </is>
      </c>
      <c r="D3012">
        <f>HYPERLINK("https://www.youtube.com/watch?v=cUdl-Cp-LWw&amp;t=382s", "Go to time")</f>
        <v/>
      </c>
    </row>
    <row r="3013">
      <c r="A3013">
        <f>HYPERLINK("https://www.youtube.com/watch?v=cUdl-Cp-LWw", "Video")</f>
        <v/>
      </c>
      <c r="B3013" t="inlineStr">
        <is>
          <t>6:37</t>
        </is>
      </c>
      <c r="C3013" t="inlineStr">
        <is>
          <t>find the nail polish and then go
and find the screwdriver,</t>
        </is>
      </c>
      <c r="D3013">
        <f>HYPERLINK("https://www.youtube.com/watch?v=cUdl-Cp-LWw&amp;t=397s", "Go to time")</f>
        <v/>
      </c>
    </row>
    <row r="3014">
      <c r="A3014">
        <f>HYPERLINK("https://www.youtube.com/watch?v=do27uAjfKbg", "Video")</f>
        <v/>
      </c>
      <c r="B3014" t="inlineStr">
        <is>
          <t>2:02</t>
        </is>
      </c>
      <c r="C3014" t="inlineStr">
        <is>
          <t>that's driven by the pain and suffering
of climate shocks around the world.</t>
        </is>
      </c>
      <c r="D3014">
        <f>HYPERLINK("https://www.youtube.com/watch?v=do27uAjfKbg&amp;t=122s", "Go to time")</f>
        <v/>
      </c>
    </row>
    <row r="3015">
      <c r="A3015">
        <f>HYPERLINK("https://www.youtube.com/watch?v=wpysFja4zyQ", "Video")</f>
        <v/>
      </c>
      <c r="B3015" t="inlineStr">
        <is>
          <t>2:27</t>
        </is>
      </c>
      <c r="C3015" t="inlineStr">
        <is>
          <t>that is by a mile the biggest driver
of wealth inequality.</t>
        </is>
      </c>
      <c r="D3015">
        <f>HYPERLINK("https://www.youtube.com/watch?v=wpysFja4zyQ&amp;t=147s", "Go to time")</f>
        <v/>
      </c>
    </row>
    <row r="3016">
      <c r="A3016">
        <f>HYPERLINK("https://www.youtube.com/watch?v=wpysFja4zyQ", "Video")</f>
        <v/>
      </c>
      <c r="B3016" t="inlineStr">
        <is>
          <t>8:28</t>
        </is>
      </c>
      <c r="C3016" t="inlineStr">
        <is>
          <t>We had truck drivers make 800,000 dollars.</t>
        </is>
      </c>
      <c r="D3016">
        <f>HYPERLINK("https://www.youtube.com/watch?v=wpysFja4zyQ&amp;t=508s", "Go to time")</f>
        <v/>
      </c>
    </row>
    <row r="3017">
      <c r="A3017">
        <f>HYPERLINK("https://www.youtube.com/watch?v=LbZC0DjnhGs", "Video")</f>
        <v/>
      </c>
      <c r="B3017" t="inlineStr">
        <is>
          <t>9:55</t>
        </is>
      </c>
      <c r="C3017" t="inlineStr">
        <is>
          <t>they are also powerful drivers
of growth and profitability.</t>
        </is>
      </c>
      <c r="D3017">
        <f>HYPERLINK("https://www.youtube.com/watch?v=LbZC0DjnhGs&amp;t=595s", "Go to time")</f>
        <v/>
      </c>
    </row>
    <row r="3018">
      <c r="A3018">
        <f>HYPERLINK("https://www.youtube.com/watch?v=Is1YUQVYkvY", "Video")</f>
        <v/>
      </c>
      <c r="B3018" t="inlineStr">
        <is>
          <t>4:07</t>
        </is>
      </c>
      <c r="C3018" t="inlineStr">
        <is>
          <t>for the drivers to talk to one another
about their working conditions</t>
        </is>
      </c>
      <c r="D3018">
        <f>HYPERLINK("https://www.youtube.com/watch?v=Is1YUQVYkvY&amp;t=247s", "Go to time")</f>
        <v/>
      </c>
    </row>
    <row r="3019">
      <c r="A3019">
        <f>HYPERLINK("https://www.youtube.com/watch?v=kxGOuqsoteA", "Video")</f>
        <v/>
      </c>
      <c r="B3019" t="inlineStr">
        <is>
          <t>6:43</t>
        </is>
      </c>
      <c r="C3019" t="inlineStr">
        <is>
          <t>even being driven apart just by the very</t>
        </is>
      </c>
      <c r="D3019">
        <f>HYPERLINK("https://www.youtube.com/watch?v=kxGOuqsoteA&amp;t=403s", "Go to time")</f>
        <v/>
      </c>
    </row>
    <row r="3020">
      <c r="A3020">
        <f>HYPERLINK("https://www.youtube.com/watch?v=kxGOuqsoteA", "Video")</f>
        <v/>
      </c>
      <c r="B3020" t="inlineStr">
        <is>
          <t>21:26</t>
        </is>
      </c>
      <c r="C3020" t="inlineStr">
        <is>
          <t>you know the the drive to close down</t>
        </is>
      </c>
      <c r="D3020">
        <f>HYPERLINK("https://www.youtube.com/watch?v=kxGOuqsoteA&amp;t=1286s", "Go to time")</f>
        <v/>
      </c>
    </row>
    <row r="3021">
      <c r="A3021">
        <f>HYPERLINK("https://www.youtube.com/watch?v=JlbwchclCBo", "Video")</f>
        <v/>
      </c>
      <c r="B3021" t="inlineStr">
        <is>
          <t>4:12</t>
        </is>
      </c>
      <c r="C3021" t="inlineStr">
        <is>
          <t>Our curiosity was in overdrive,</t>
        </is>
      </c>
      <c r="D3021">
        <f>HYPERLINK("https://www.youtube.com/watch?v=JlbwchclCBo&amp;t=252s", "Go to time")</f>
        <v/>
      </c>
    </row>
    <row r="3022">
      <c r="A3022">
        <f>HYPERLINK("https://www.youtube.com/watch?v=AHV_BxlNzmM", "Video")</f>
        <v/>
      </c>
      <c r="B3022" t="inlineStr">
        <is>
          <t>4:40</t>
        </is>
      </c>
      <c r="C3022" t="inlineStr">
        <is>
          <t>so they can track driver concentration,</t>
        </is>
      </c>
      <c r="D3022">
        <f>HYPERLINK("https://www.youtube.com/watch?v=AHV_BxlNzmM&amp;t=280s", "Go to time")</f>
        <v/>
      </c>
    </row>
    <row r="3023">
      <c r="A3023">
        <f>HYPERLINK("https://www.youtube.com/watch?v=AHV_BxlNzmM", "Video")</f>
        <v/>
      </c>
      <c r="B3023" t="inlineStr">
        <is>
          <t>5:58</t>
        </is>
      </c>
      <c r="C3023" t="inlineStr">
        <is>
          <t>the train drivers on
the Beijing-Shanghai high-speed rail,</t>
        </is>
      </c>
      <c r="D3023">
        <f>HYPERLINK("https://www.youtube.com/watch?v=AHV_BxlNzmM&amp;t=358s", "Go to time")</f>
        <v/>
      </c>
    </row>
    <row r="3024">
      <c r="A3024">
        <f>HYPERLINK("https://www.youtube.com/watch?v=Kl3VVrggKz4", "Video")</f>
        <v/>
      </c>
      <c r="B3024" t="inlineStr">
        <is>
          <t>5:44</t>
        </is>
      </c>
      <c r="C3024" t="inlineStr">
        <is>
          <t>A big driver has been
technological change.</t>
        </is>
      </c>
      <c r="D3024">
        <f>HYPERLINK("https://www.youtube.com/watch?v=Kl3VVrggKz4&amp;t=344s", "Go to time")</f>
        <v/>
      </c>
    </row>
    <row r="3025">
      <c r="A3025">
        <f>HYPERLINK("https://www.youtube.com/watch?v=Kl3VVrggKz4", "Video")</f>
        <v/>
      </c>
      <c r="B3025" t="inlineStr">
        <is>
          <t>7:56</t>
        </is>
      </c>
      <c r="C3025" t="inlineStr">
        <is>
          <t>A big driver has been
increases in crop yields.</t>
        </is>
      </c>
      <c r="D3025">
        <f>HYPERLINK("https://www.youtube.com/watch?v=Kl3VVrggKz4&amp;t=476s", "Go to time")</f>
        <v/>
      </c>
    </row>
    <row r="3026">
      <c r="A3026">
        <f>HYPERLINK("https://www.youtube.com/watch?v=vvIP7vabO4c", "Video")</f>
        <v/>
      </c>
      <c r="B3026" t="inlineStr">
        <is>
          <t>7:00</t>
        </is>
      </c>
      <c r="C3026" t="inlineStr">
        <is>
          <t>for us to drive down
greenhouse gas emissions</t>
        </is>
      </c>
      <c r="D3026">
        <f>HYPERLINK("https://www.youtube.com/watch?v=vvIP7vabO4c&amp;t=420s", "Go to time")</f>
        <v/>
      </c>
    </row>
    <row r="3027">
      <c r="A3027">
        <f>HYPERLINK("https://www.youtube.com/watch?v=vvIP7vabO4c", "Video")</f>
        <v/>
      </c>
      <c r="B3027" t="inlineStr">
        <is>
          <t>10:14</t>
        </is>
      </c>
      <c r="C3027" t="inlineStr">
        <is>
          <t>and solutions that drive
local circularity and reuse.</t>
        </is>
      </c>
      <c r="D3027">
        <f>HYPERLINK("https://www.youtube.com/watch?v=vvIP7vabO4c&amp;t=614s", "Go to time")</f>
        <v/>
      </c>
    </row>
    <row r="3028">
      <c r="A3028">
        <f>HYPERLINK("https://www.youtube.com/watch?v=vvIP7vabO4c", "Video")</f>
        <v/>
      </c>
      <c r="B3028" t="inlineStr">
        <is>
          <t>11:01</t>
        </is>
      </c>
      <c r="C3028" t="inlineStr">
        <is>
          <t>or just to resell and drive
things across town.</t>
        </is>
      </c>
      <c r="D3028">
        <f>HYPERLINK("https://www.youtube.com/watch?v=vvIP7vabO4c&amp;t=661s", "Go to time")</f>
        <v/>
      </c>
    </row>
    <row r="3029">
      <c r="A3029">
        <f>HYPERLINK("https://www.youtube.com/watch?v=vvIP7vabO4c", "Video")</f>
        <v/>
      </c>
      <c r="B3029" t="inlineStr">
        <is>
          <t>11:43</t>
        </is>
      </c>
      <c r="C3029" t="inlineStr">
        <is>
          <t>we'll drive down global greenhouse
gas emissions by more than 60 percent</t>
        </is>
      </c>
      <c r="D3029">
        <f>HYPERLINK("https://www.youtube.com/watch?v=vvIP7vabO4c&amp;t=703s", "Go to time")</f>
        <v/>
      </c>
    </row>
    <row r="3030">
      <c r="A3030">
        <f>HYPERLINK("https://www.youtube.com/watch?v=reUZRyXxUs4", "Video")</f>
        <v/>
      </c>
      <c r="B3030" t="inlineStr">
        <is>
          <t>2:03</t>
        </is>
      </c>
      <c r="C3030" t="inlineStr">
        <is>
          <t>Many weekends, I drive a few minutes
from my house to a local pizza store</t>
        </is>
      </c>
      <c r="D3030">
        <f>HYPERLINK("https://www.youtube.com/watch?v=reUZRyXxUs4&amp;t=123s", "Go to time")</f>
        <v/>
      </c>
    </row>
    <row r="3031">
      <c r="A3031">
        <f>HYPERLINK("https://www.youtube.com/watch?v=reUZRyXxUs4", "Video")</f>
        <v/>
      </c>
      <c r="B3031" t="inlineStr">
        <is>
          <t>4:19</t>
        </is>
      </c>
      <c r="C3031" t="inlineStr">
        <is>
          <t>that would drive sales,</t>
        </is>
      </c>
      <c r="D3031">
        <f>HYPERLINK("https://www.youtube.com/watch?v=reUZRyXxUs4&amp;t=259s", "Go to time")</f>
        <v/>
      </c>
    </row>
    <row r="3032">
      <c r="A3032">
        <f>HYPERLINK("https://www.youtube.com/watch?v=ieSV8-isy3M", "Video")</f>
        <v/>
      </c>
      <c r="B3032" t="inlineStr">
        <is>
          <t>2:12</t>
        </is>
      </c>
      <c r="C3032" t="inlineStr">
        <is>
          <t>Because adaptability is probably one
of the strongest drivers of architecture.</t>
        </is>
      </c>
      <c r="D3032">
        <f>HYPERLINK("https://www.youtube.com/watch?v=ieSV8-isy3M&amp;t=132s", "Go to time")</f>
        <v/>
      </c>
    </row>
    <row r="3033">
      <c r="A3033">
        <f>HYPERLINK("https://www.youtube.com/watch?v=ieSV8-isy3M", "Video")</f>
        <v/>
      </c>
      <c r="B3033" t="inlineStr">
        <is>
          <t>2:57</t>
        </is>
      </c>
      <c r="C3033" t="inlineStr">
        <is>
          <t>When you drive over the bridge,</t>
        </is>
      </c>
      <c r="D3033">
        <f>HYPERLINK("https://www.youtube.com/watch?v=ieSV8-isy3M&amp;t=177s", "Go to time")</f>
        <v/>
      </c>
    </row>
    <row r="3034">
      <c r="A3034">
        <f>HYPERLINK("https://www.youtube.com/watch?v=ieSV8-isy3M", "Video")</f>
        <v/>
      </c>
      <c r="B3034" t="inlineStr">
        <is>
          <t>10:45</t>
        </is>
      </c>
      <c r="C3034" t="inlineStr">
        <is>
          <t>you typically draw the street grid
where the cars can drive</t>
        </is>
      </c>
      <c r="D3034">
        <f>HYPERLINK("https://www.youtube.com/watch?v=ieSV8-isy3M&amp;t=645s", "Go to time")</f>
        <v/>
      </c>
    </row>
    <row r="3035">
      <c r="A3035">
        <f>HYPERLINK("https://www.youtube.com/watch?v=jx4q82a6jHc", "Video")</f>
        <v/>
      </c>
      <c r="B3035" t="inlineStr">
        <is>
          <t>8:01</t>
        </is>
      </c>
      <c r="C3035" t="inlineStr">
        <is>
          <t>It turns out that pups drive a lot
of the things that otters do.</t>
        </is>
      </c>
      <c r="D3035">
        <f>HYPERLINK("https://www.youtube.com/watch?v=jx4q82a6jHc&amp;t=481s", "Go to time")</f>
        <v/>
      </c>
    </row>
    <row r="3036">
      <c r="A3036">
        <f>HYPERLINK("https://www.youtube.com/watch?v=id4YRO7G0wE", "Video")</f>
        <v/>
      </c>
      <c r="B3036" t="inlineStr">
        <is>
          <t>19:18</t>
        </is>
      </c>
      <c r="C3036" t="inlineStr">
        <is>
          <t>that ultimately drive
the cost structure of drugs.</t>
        </is>
      </c>
      <c r="D3036">
        <f>HYPERLINK("https://www.youtube.com/watch?v=id4YRO7G0wE&amp;t=1158s", "Go to time")</f>
        <v/>
      </c>
    </row>
    <row r="3037">
      <c r="A3037">
        <f>HYPERLINK("https://www.youtube.com/watch?v=H_rsxmtfKr0", "Video")</f>
        <v/>
      </c>
      <c r="B3037" t="inlineStr">
        <is>
          <t>11:58</t>
        </is>
      </c>
      <c r="C3037" t="inlineStr">
        <is>
          <t>But we are mission-driven,
we are outcome-driven,</t>
        </is>
      </c>
      <c r="D3037">
        <f>HYPERLINK("https://www.youtube.com/watch?v=H_rsxmtfKr0&amp;t=718s", "Go to time")</f>
        <v/>
      </c>
    </row>
    <row r="3038">
      <c r="A3038">
        <f>HYPERLINK("https://www.youtube.com/watch?v=VasJyDmMafA", "Video")</f>
        <v/>
      </c>
      <c r="B3038" t="inlineStr">
        <is>
          <t>2:07</t>
        </is>
      </c>
      <c r="C3038" t="inlineStr">
        <is>
          <t>I've participated in food drives,</t>
        </is>
      </c>
      <c r="D3038">
        <f>HYPERLINK("https://www.youtube.com/watch?v=VasJyDmMafA&amp;t=127s", "Go to time")</f>
        <v/>
      </c>
    </row>
    <row r="3039">
      <c r="A3039">
        <f>HYPERLINK("https://www.youtube.com/watch?v=VasJyDmMafA", "Video")</f>
        <v/>
      </c>
      <c r="B3039" t="inlineStr">
        <is>
          <t>2:57</t>
        </is>
      </c>
      <c r="C3039" t="inlineStr">
        <is>
          <t>And can drives --</t>
        </is>
      </c>
      <c r="D3039">
        <f>HYPERLINK("https://www.youtube.com/watch?v=VasJyDmMafA&amp;t=177s", "Go to time")</f>
        <v/>
      </c>
    </row>
    <row r="3040">
      <c r="A3040">
        <f>HYPERLINK("https://www.youtube.com/watch?v=VasJyDmMafA", "Video")</f>
        <v/>
      </c>
      <c r="B3040" t="inlineStr">
        <is>
          <t>5:45</t>
        </is>
      </c>
      <c r="C3040" t="inlineStr">
        <is>
          <t>We then connect with local drivers
in the shared economy</t>
        </is>
      </c>
      <c r="D3040">
        <f>HYPERLINK("https://www.youtube.com/watch?v=VasJyDmMafA&amp;t=345s", "Go to time")</f>
        <v/>
      </c>
    </row>
    <row r="3041">
      <c r="A3041">
        <f>HYPERLINK("https://www.youtube.com/watch?v=VasJyDmMafA", "Video")</f>
        <v/>
      </c>
      <c r="B3041" t="inlineStr">
        <is>
          <t>9:14</t>
        </is>
      </c>
      <c r="C3041" t="inlineStr">
        <is>
          <t>We literally have cars
that can drive themselves</t>
        </is>
      </c>
      <c r="D3041">
        <f>HYPERLINK("https://www.youtube.com/watch?v=VasJyDmMafA&amp;t=554s", "Go to time")</f>
        <v/>
      </c>
    </row>
    <row r="3042">
      <c r="A3042">
        <f>HYPERLINK("https://www.youtube.com/watch?v=VasJyDmMafA", "Video")</f>
        <v/>
      </c>
      <c r="B3042" t="inlineStr">
        <is>
          <t>11:16</t>
        </is>
      </c>
      <c r="C3042" t="inlineStr">
        <is>
          <t>Food drives are fine.</t>
        </is>
      </c>
      <c r="D3042">
        <f>HYPERLINK("https://www.youtube.com/watch?v=VasJyDmMafA&amp;t=676s", "Go to time")</f>
        <v/>
      </c>
    </row>
    <row r="3043">
      <c r="A3043">
        <f>HYPERLINK("https://www.youtube.com/watch?v=VasJyDmMafA", "Video")</f>
        <v/>
      </c>
      <c r="B3043" t="inlineStr">
        <is>
          <t>11:23</t>
        </is>
      </c>
      <c r="C3043" t="inlineStr">
        <is>
          <t>But the reality is that food drives
do not solve hunger.</t>
        </is>
      </c>
      <c r="D3043">
        <f>HYPERLINK("https://www.youtube.com/watch?v=VasJyDmMafA&amp;t=683s", "Go to time")</f>
        <v/>
      </c>
    </row>
    <row r="3044">
      <c r="A3044">
        <f>HYPERLINK("https://www.youtube.com/watch?v=hQigUH0vZSE", "Video")</f>
        <v/>
      </c>
      <c r="B3044" t="inlineStr">
        <is>
          <t>3:38</t>
        </is>
      </c>
      <c r="C3044" t="inlineStr">
        <is>
          <t>Driverless cars.</t>
        </is>
      </c>
      <c r="D3044">
        <f>HYPERLINK("https://www.youtube.com/watch?v=hQigUH0vZSE&amp;t=218s", "Go to time")</f>
        <v/>
      </c>
    </row>
    <row r="3045">
      <c r="A3045">
        <f>HYPERLINK("https://www.youtube.com/watch?v=hQigUH0vZSE", "Video")</f>
        <v/>
      </c>
      <c r="B3045" t="inlineStr">
        <is>
          <t>4:01</t>
        </is>
      </c>
      <c r="C3045" t="inlineStr">
        <is>
          <t>The other thing is that since
driverless cars will be shared,</t>
        </is>
      </c>
      <c r="D3045">
        <f>HYPERLINK("https://www.youtube.com/watch?v=hQigUH0vZSE&amp;t=241s", "Go to time")</f>
        <v/>
      </c>
    </row>
    <row r="3046">
      <c r="A3046">
        <f>HYPERLINK("https://www.youtube.com/watch?v=hQigUH0vZSE", "Video")</f>
        <v/>
      </c>
      <c r="B3046" t="inlineStr">
        <is>
          <t>4:56</t>
        </is>
      </c>
      <c r="C3046" t="inlineStr">
        <is>
          <t>That means they will order
driverless cars to do just that.</t>
        </is>
      </c>
      <c r="D3046">
        <f>HYPERLINK("https://www.youtube.com/watch?v=hQigUH0vZSE&amp;t=296s", "Go to time")</f>
        <v/>
      </c>
    </row>
    <row r="3047">
      <c r="A3047">
        <f>HYPERLINK("https://www.youtube.com/watch?v=OjuYFNR1aWo", "Video")</f>
        <v/>
      </c>
      <c r="B3047" t="inlineStr">
        <is>
          <t>13:54</t>
        </is>
      </c>
      <c r="C3047" t="inlineStr">
        <is>
          <t>That this technology drives us to disable
our capacity to act collectively</t>
        </is>
      </c>
      <c r="D3047">
        <f>HYPERLINK("https://www.youtube.com/watch?v=OjuYFNR1aWo&amp;t=834s", "Go to time")</f>
        <v/>
      </c>
    </row>
    <row r="3048">
      <c r="A3048">
        <f>HYPERLINK("https://www.youtube.com/watch?v=oST05EBK3aI", "Video")</f>
        <v/>
      </c>
      <c r="B3048" t="inlineStr">
        <is>
          <t>0:47</t>
        </is>
      </c>
      <c r="C3048" t="inlineStr">
        <is>
          <t>worst they drive</t>
        </is>
      </c>
      <c r="D3048">
        <f>HYPERLINK("https://www.youtube.com/watch?v=oST05EBK3aI&amp;t=47s", "Go to time")</f>
        <v/>
      </c>
    </row>
    <row r="3049">
      <c r="A3049">
        <f>HYPERLINK("https://www.youtube.com/watch?v=UGHzKaAOOcA", "Video")</f>
        <v/>
      </c>
      <c r="B3049" t="inlineStr">
        <is>
          <t>7:31</t>
        </is>
      </c>
      <c r="C3049" t="inlineStr">
        <is>
          <t>But what happens
when that system is AI-driven?</t>
        </is>
      </c>
      <c r="D3049">
        <f>HYPERLINK("https://www.youtube.com/watch?v=UGHzKaAOOcA&amp;t=451s", "Go to time")</f>
        <v/>
      </c>
    </row>
    <row r="3050">
      <c r="A3050">
        <f>HYPERLINK("https://www.youtube.com/watch?v=UGHzKaAOOcA", "Video")</f>
        <v/>
      </c>
      <c r="B3050" t="inlineStr">
        <is>
          <t>8:08</t>
        </is>
      </c>
      <c r="C3050" t="inlineStr">
        <is>
          <t>is what would be our interfaces
with these AI-driven systems.</t>
        </is>
      </c>
      <c r="D3050">
        <f>HYPERLINK("https://www.youtube.com/watch?v=UGHzKaAOOcA&amp;t=488s", "Go to time")</f>
        <v/>
      </c>
    </row>
    <row r="3051">
      <c r="A3051">
        <f>HYPERLINK("https://www.youtube.com/watch?v=UGHzKaAOOcA", "Video")</f>
        <v/>
      </c>
      <c r="B3051" t="inlineStr">
        <is>
          <t>8:27</t>
        </is>
      </c>
      <c r="C3051" t="inlineStr">
        <is>
          <t>The fifth question
for these AI-driven systems:</t>
        </is>
      </c>
      <c r="D3051">
        <f>HYPERLINK("https://www.youtube.com/watch?v=UGHzKaAOOcA&amp;t=507s", "Go to time")</f>
        <v/>
      </c>
    </row>
    <row r="3052">
      <c r="A3052">
        <f>HYPERLINK("https://www.youtube.com/watch?v=3itrpciAF4I", "Video")</f>
        <v/>
      </c>
      <c r="B3052" t="inlineStr">
        <is>
          <t>6:05</t>
        </is>
      </c>
      <c r="C3052" t="inlineStr">
        <is>
          <t>Or data-driven tools
that election officials can use</t>
        </is>
      </c>
      <c r="D3052">
        <f>HYPERLINK("https://www.youtube.com/watch?v=3itrpciAF4I&amp;t=365s", "Go to time")</f>
        <v/>
      </c>
    </row>
    <row r="3053">
      <c r="A3053">
        <f>HYPERLINK("https://www.youtube.com/watch?v=WrxJKj71c9o", "Video")</f>
        <v/>
      </c>
      <c r="B3053" t="inlineStr">
        <is>
          <t>1:33</t>
        </is>
      </c>
      <c r="C3053" t="inlineStr">
        <is>
          <t>data-and-AI-driven music</t>
        </is>
      </c>
      <c r="D3053">
        <f>HYPERLINK("https://www.youtube.com/watch?v=WrxJKj71c9o&amp;t=93s", "Go to time")</f>
        <v/>
      </c>
    </row>
    <row r="3054">
      <c r="A3054">
        <f>HYPERLINK("https://www.youtube.com/watch?v=nLjchFPvcQo", "Video")</f>
        <v/>
      </c>
      <c r="B3054" t="inlineStr">
        <is>
          <t>7:23</t>
        </is>
      </c>
      <c r="C3054" t="inlineStr">
        <is>
          <t>for anyone driven by sugar cravings.</t>
        </is>
      </c>
      <c r="D3054">
        <f>HYPERLINK("https://www.youtube.com/watch?v=nLjchFPvcQo&amp;t=443s", "Go to time")</f>
        <v/>
      </c>
    </row>
    <row r="3055">
      <c r="A3055">
        <f>HYPERLINK("https://www.youtube.com/watch?v=KKNCiRWd_j0", "Video")</f>
        <v/>
      </c>
      <c r="B3055" t="inlineStr">
        <is>
          <t>7:53</t>
        </is>
      </c>
      <c r="C3055" t="inlineStr">
        <is>
          <t>AIs can now drive cars,</t>
        </is>
      </c>
      <c r="D3055">
        <f>HYPERLINK("https://www.youtube.com/watch?v=KKNCiRWd_j0&amp;t=473s", "Go to time")</f>
        <v/>
      </c>
    </row>
    <row r="3056">
      <c r="A3056">
        <f>HYPERLINK("https://www.youtube.com/watch?v=PbgB2TaYhio", "Video")</f>
        <v/>
      </c>
      <c r="B3056" t="inlineStr">
        <is>
          <t>11:14</t>
        </is>
      </c>
      <c r="C3056" t="inlineStr">
        <is>
          <t>It's instead being driven
by long, slow geological rhythms.</t>
        </is>
      </c>
      <c r="D3056">
        <f>HYPERLINK("https://www.youtube.com/watch?v=PbgB2TaYhio&amp;t=674s", "Go to time")</f>
        <v/>
      </c>
    </row>
    <row r="3057">
      <c r="A3057">
        <f>HYPERLINK("https://www.youtube.com/watch?v=kSnvSXDN3Dk", "Video")</f>
        <v/>
      </c>
      <c r="B3057" t="inlineStr">
        <is>
          <t>11:21</t>
        </is>
      </c>
      <c r="C3057" t="inlineStr">
        <is>
          <t>to a driven scientist</t>
        </is>
      </c>
      <c r="D3057">
        <f>HYPERLINK("https://www.youtube.com/watch?v=kSnvSXDN3Dk&amp;t=681s", "Go to time")</f>
        <v/>
      </c>
    </row>
    <row r="3058">
      <c r="A3058">
        <f>HYPERLINK("https://www.youtube.com/watch?v=Z0sHRaEhiAQ", "Video")</f>
        <v/>
      </c>
      <c r="B3058" t="inlineStr">
        <is>
          <t>3:37</t>
        </is>
      </c>
      <c r="C3058" t="inlineStr">
        <is>
          <t>is a major driver for climate change</t>
        </is>
      </c>
      <c r="D3058">
        <f>HYPERLINK("https://www.youtube.com/watch?v=Z0sHRaEhiAQ&amp;t=217s", "Go to time")</f>
        <v/>
      </c>
    </row>
    <row r="3059">
      <c r="A3059">
        <f>HYPERLINK("https://www.youtube.com/watch?v=YUUP2MMz7PU", "Video")</f>
        <v/>
      </c>
      <c r="B3059" t="inlineStr">
        <is>
          <t>3:52</t>
        </is>
      </c>
      <c r="C3059" t="inlineStr">
        <is>
          <t>is what Indiana Jones said,
not just to drive movie plots,</t>
        </is>
      </c>
      <c r="D3059">
        <f>HYPERLINK("https://www.youtube.com/watch?v=YUUP2MMz7PU&amp;t=232s", "Go to time")</f>
        <v/>
      </c>
    </row>
    <row r="3060">
      <c r="A3060">
        <f>HYPERLINK("https://www.youtube.com/watch?v=YUUP2MMz7PU", "Video")</f>
        <v/>
      </c>
      <c r="B3060" t="inlineStr">
        <is>
          <t>3:56</t>
        </is>
      </c>
      <c r="C3060" t="inlineStr">
        <is>
          <t>but to drive home the unquestionable good
of museums for society.</t>
        </is>
      </c>
      <c r="D3060">
        <f>HYPERLINK("https://www.youtube.com/watch?v=YUUP2MMz7PU&amp;t=236s", "Go to time")</f>
        <v/>
      </c>
    </row>
    <row r="3061">
      <c r="A3061">
        <f>HYPERLINK("https://www.youtube.com/watch?v=iwUkbi4_wWo", "Video")</f>
        <v/>
      </c>
      <c r="B3061" t="inlineStr">
        <is>
          <t>0:59</t>
        </is>
      </c>
      <c r="C3061" t="inlineStr">
        <is>
          <t>can be so strong
to drive a stronger emotion.</t>
        </is>
      </c>
      <c r="D3061">
        <f>HYPERLINK("https://www.youtube.com/watch?v=iwUkbi4_wWo&amp;t=59s", "Go to time")</f>
        <v/>
      </c>
    </row>
    <row r="3062">
      <c r="A3062">
        <f>HYPERLINK("https://www.youtube.com/watch?v=QOCZYRXL0AQ", "Video")</f>
        <v/>
      </c>
      <c r="B3062" t="inlineStr">
        <is>
          <t>5:04</t>
        </is>
      </c>
      <c r="C3062" t="inlineStr">
        <is>
          <t>And this car drives by looking
at the bushes and the trees</t>
        </is>
      </c>
      <c r="D3062">
        <f>HYPERLINK("https://www.youtube.com/watch?v=QOCZYRXL0AQ&amp;t=304s", "Go to time")</f>
        <v/>
      </c>
    </row>
    <row r="3063">
      <c r="A3063">
        <f>HYPERLINK("https://www.youtube.com/watch?v=QOCZYRXL0AQ", "Video")</f>
        <v/>
      </c>
      <c r="B3063" t="inlineStr">
        <is>
          <t>5:10</t>
        </is>
      </c>
      <c r="C3063" t="inlineStr">
        <is>
          <t>That's not how we drive.</t>
        </is>
      </c>
      <c r="D3063">
        <f>HYPERLINK("https://www.youtube.com/watch?v=QOCZYRXL0AQ&amp;t=310s", "Go to time")</f>
        <v/>
      </c>
    </row>
    <row r="3064">
      <c r="A3064">
        <f>HYPERLINK("https://www.youtube.com/watch?v=zawpbVpu5nY", "Video")</f>
        <v/>
      </c>
      <c r="B3064" t="inlineStr">
        <is>
          <t>0:43</t>
        </is>
      </c>
      <c r="C3064" t="inlineStr">
        <is>
          <t>because our imagination
goes into overdrive</t>
        </is>
      </c>
      <c r="D3064">
        <f>HYPERLINK("https://www.youtube.com/watch?v=zawpbVpu5nY&amp;t=43s", "Go to time")</f>
        <v/>
      </c>
    </row>
    <row r="3065">
      <c r="A3065">
        <f>HYPERLINK("https://www.youtube.com/watch?v=zawpbVpu5nY", "Video")</f>
        <v/>
      </c>
      <c r="B3065" t="inlineStr">
        <is>
          <t>2:57</t>
        </is>
      </c>
      <c r="C3065" t="inlineStr">
        <is>
          <t>And Nairobi continues to grow
in fear-driven ways.</t>
        </is>
      </c>
      <c r="D3065">
        <f>HYPERLINK("https://www.youtube.com/watch?v=zawpbVpu5nY&amp;t=177s", "Go to time")</f>
        <v/>
      </c>
    </row>
    <row r="3066">
      <c r="A3066">
        <f>HYPERLINK("https://www.youtube.com/watch?v=bB33OBc-U6A", "Video")</f>
        <v/>
      </c>
      <c r="B3066" t="inlineStr">
        <is>
          <t>0:44</t>
        </is>
      </c>
      <c r="C3066" t="inlineStr">
        <is>
          <t>is supposed to drive using their paddles.</t>
        </is>
      </c>
      <c r="D3066">
        <f>HYPERLINK("https://www.youtube.com/watch?v=bB33OBc-U6A&amp;t=44s", "Go to time")</f>
        <v/>
      </c>
    </row>
    <row r="3067">
      <c r="A3067">
        <f>HYPERLINK("https://www.youtube.com/watch?v=bB33OBc-U6A", "Video")</f>
        <v/>
      </c>
      <c r="B3067" t="inlineStr">
        <is>
          <t>0:53</t>
        </is>
      </c>
      <c r="C3067" t="inlineStr">
        <is>
          <t>So I decided to drive my own way.</t>
        </is>
      </c>
      <c r="D3067">
        <f>HYPERLINK("https://www.youtube.com/watch?v=bB33OBc-U6A&amp;t=53s", "Go to time")</f>
        <v/>
      </c>
    </row>
    <row r="3068">
      <c r="A3068">
        <f>HYPERLINK("https://www.youtube.com/watch?v=bB33OBc-U6A", "Video")</f>
        <v/>
      </c>
      <c r="B3068" t="inlineStr">
        <is>
          <t>10:19</t>
        </is>
      </c>
      <c r="C3068" t="inlineStr">
        <is>
          <t>threatening to drive away
because he feels disrespected.</t>
        </is>
      </c>
      <c r="D3068">
        <f>HYPERLINK("https://www.youtube.com/watch?v=bB33OBc-U6A&amp;t=619s", "Go to time")</f>
        <v/>
      </c>
    </row>
    <row r="3069">
      <c r="A3069">
        <f>HYPERLINK("https://www.youtube.com/watch?v=zY0U0O6VsOA", "Video")</f>
        <v/>
      </c>
      <c r="B3069" t="inlineStr">
        <is>
          <t>5:31</t>
        </is>
      </c>
      <c r="C3069" t="inlineStr">
        <is>
          <t>will drive very distinct
ways of doing things.</t>
        </is>
      </c>
      <c r="D3069">
        <f>HYPERLINK("https://www.youtube.com/watch?v=zY0U0O6VsOA&amp;t=331s", "Go to time")</f>
        <v/>
      </c>
    </row>
    <row r="3070">
      <c r="A3070">
        <f>HYPERLINK("https://www.youtube.com/watch?v=zY0U0O6VsOA", "Video")</f>
        <v/>
      </c>
      <c r="B3070" t="inlineStr">
        <is>
          <t>11:48</t>
        </is>
      </c>
      <c r="C3070" t="inlineStr">
        <is>
          <t>more value-driven world
for these countries</t>
        </is>
      </c>
      <c r="D3070">
        <f>HYPERLINK("https://www.youtube.com/watch?v=zY0U0O6VsOA&amp;t=708s", "Go to time")</f>
        <v/>
      </c>
    </row>
    <row r="3071">
      <c r="A3071">
        <f>HYPERLINK("https://www.youtube.com/watch?v=7vtlMRV1sxY", "Video")</f>
        <v/>
      </c>
      <c r="B3071" t="inlineStr">
        <is>
          <t>2:13</t>
        </is>
      </c>
      <c r="C3071" t="inlineStr">
        <is>
          <t>You'll start to see that you're better
working with mission-driven companies</t>
        </is>
      </c>
      <c r="D3071">
        <f>HYPERLINK("https://www.youtube.com/watch?v=7vtlMRV1sxY&amp;t=133s", "Go to time")</f>
        <v/>
      </c>
    </row>
    <row r="3072">
      <c r="A3072">
        <f>HYPERLINK("https://www.youtube.com/watch?v=u6m2rwNfkrU", "Video")</f>
        <v/>
      </c>
      <c r="B3072" t="inlineStr">
        <is>
          <t>8:49</t>
        </is>
      </c>
      <c r="C3072" t="inlineStr">
        <is>
          <t>drive at all and within a week I'd got a</t>
        </is>
      </c>
      <c r="D3072">
        <f>HYPERLINK("https://www.youtube.com/watch?v=u6m2rwNfkrU&amp;t=529s", "Go to time")</f>
        <v/>
      </c>
    </row>
    <row r="3073">
      <c r="A3073">
        <f>HYPERLINK("https://www.youtube.com/watch?v=VzyjDR_AWzE", "Video")</f>
        <v/>
      </c>
      <c r="B3073" t="inlineStr">
        <is>
          <t>9:33</t>
        </is>
      </c>
      <c r="C3073" t="inlineStr">
        <is>
          <t>all of that driven by segregation.</t>
        </is>
      </c>
      <c r="D3073">
        <f>HYPERLINK("https://www.youtube.com/watch?v=VzyjDR_AWzE&amp;t=573s", "Go to time")</f>
        <v/>
      </c>
    </row>
    <row r="3074">
      <c r="A3074">
        <f>HYPERLINK("https://www.youtube.com/watch?v=TVNHd8ZODio", "Video")</f>
        <v/>
      </c>
      <c r="B3074" t="inlineStr">
        <is>
          <t>4:33</t>
        </is>
      </c>
      <c r="C3074" t="inlineStr">
        <is>
          <t>to make data-driven decisions
about the individual.</t>
        </is>
      </c>
      <c r="D3074">
        <f>HYPERLINK("https://www.youtube.com/watch?v=TVNHd8ZODio&amp;t=273s", "Go to time")</f>
        <v/>
      </c>
    </row>
    <row r="3075">
      <c r="A3075">
        <f>HYPERLINK("https://www.youtube.com/watch?v=TVNHd8ZODio", "Video")</f>
        <v/>
      </c>
      <c r="B3075" t="inlineStr">
        <is>
          <t>7:35</t>
        </is>
      </c>
      <c r="C3075" t="inlineStr">
        <is>
          <t>and that we can rely on them
to make data-driven decisions</t>
        </is>
      </c>
      <c r="D3075">
        <f>HYPERLINK("https://www.youtube.com/watch?v=TVNHd8ZODio&amp;t=455s", "Go to time")</f>
        <v/>
      </c>
    </row>
    <row r="3076">
      <c r="A3076">
        <f>HYPERLINK("https://www.youtube.com/watch?v=JoGCaI1HzYo", "Video")</f>
        <v/>
      </c>
      <c r="B3076" t="inlineStr">
        <is>
          <t>2:58</t>
        </is>
      </c>
      <c r="C3076" t="inlineStr">
        <is>
          <t>You believe in data-driven analysis.</t>
        </is>
      </c>
      <c r="D3076">
        <f>HYPERLINK("https://www.youtube.com/watch?v=JoGCaI1HzYo&amp;t=178s", "Go to time")</f>
        <v/>
      </c>
    </row>
    <row r="3077">
      <c r="A3077">
        <f>HYPERLINK("https://www.youtube.com/watch?v=Y_p8qwDHtfA", "Video")</f>
        <v/>
      </c>
      <c r="B3077" t="inlineStr">
        <is>
          <t>2:41</t>
        </is>
      </c>
      <c r="C3077" t="inlineStr">
        <is>
          <t>that offering free online returns
would drive customers to spend more.</t>
        </is>
      </c>
      <c r="D3077">
        <f>HYPERLINK("https://www.youtube.com/watch?v=Y_p8qwDHtfA&amp;t=161s", "Go to time")</f>
        <v/>
      </c>
    </row>
    <row r="3078">
      <c r="A3078">
        <f>HYPERLINK("https://www.youtube.com/watch?v=Y_p8qwDHtfA", "Video")</f>
        <v/>
      </c>
      <c r="B3078" t="inlineStr">
        <is>
          <t>2:50</t>
        </is>
      </c>
      <c r="C3078" t="inlineStr">
        <is>
          <t>to drive more sales
and provide a better experience.</t>
        </is>
      </c>
      <c r="D3078">
        <f>HYPERLINK("https://www.youtube.com/watch?v=Y_p8qwDHtfA&amp;t=170s", "Go to time")</f>
        <v/>
      </c>
    </row>
    <row r="3079">
      <c r="A3079">
        <f>HYPERLINK("https://www.youtube.com/watch?v=gdJwW-NhObU", "Video")</f>
        <v/>
      </c>
      <c r="B3079" t="inlineStr">
        <is>
          <t>3:38</t>
        </is>
      </c>
      <c r="C3079" t="inlineStr">
        <is>
          <t>I wouldn't want an Uber driver</t>
        </is>
      </c>
      <c r="D3079">
        <f>HYPERLINK("https://www.youtube.com/watch?v=gdJwW-NhObU&amp;t=218s", "Go to time")</f>
        <v/>
      </c>
    </row>
    <row r="3080">
      <c r="A3080">
        <f>HYPERLINK("https://www.youtube.com/watch?v=CDnwc3NAx-c", "Video")</f>
        <v/>
      </c>
      <c r="B3080" t="inlineStr">
        <is>
          <t>0:50</t>
        </is>
      </c>
      <c r="C3080" t="inlineStr">
        <is>
          <t>These screens that I drive
my sense of reality from</t>
        </is>
      </c>
      <c r="D3080">
        <f>HYPERLINK("https://www.youtube.com/watch?v=CDnwc3NAx-c&amp;t=50s", "Go to time")</f>
        <v/>
      </c>
    </row>
    <row r="3081">
      <c r="A3081">
        <f>HYPERLINK("https://www.youtube.com/watch?v=rQEh7d-qa38", "Video")</f>
        <v/>
      </c>
      <c r="B3081" t="inlineStr">
        <is>
          <t>7:46</t>
        </is>
      </c>
      <c r="C3081" t="inlineStr">
        <is>
          <t>and a lot of that will be
productivity-driven.</t>
        </is>
      </c>
      <c r="D3081">
        <f>HYPERLINK("https://www.youtube.com/watch?v=rQEh7d-qa38&amp;t=466s", "Go to time")</f>
        <v/>
      </c>
    </row>
    <row r="3082">
      <c r="A3082">
        <f>HYPERLINK("https://www.youtube.com/watch?v=rQEh7d-qa38", "Video")</f>
        <v/>
      </c>
      <c r="B3082" t="inlineStr">
        <is>
          <t>10:05</t>
        </is>
      </c>
      <c r="C3082" t="inlineStr">
        <is>
          <t>In fact, if you get real growth,
productivity-driven, real growth,</t>
        </is>
      </c>
      <c r="D3082">
        <f>HYPERLINK("https://www.youtube.com/watch?v=rQEh7d-qa38&amp;t=605s", "Go to time")</f>
        <v/>
      </c>
    </row>
    <row r="3083">
      <c r="A3083">
        <f>HYPERLINK("https://www.youtube.com/watch?v=hv-tFIuhD8E", "Video")</f>
        <v/>
      </c>
      <c r="B3083" t="inlineStr">
        <is>
          <t>7:04</t>
        </is>
      </c>
      <c r="C3083" t="inlineStr">
        <is>
          <t>Deforestation in the country
has primarily been driven</t>
        </is>
      </c>
      <c r="D3083">
        <f>HYPERLINK("https://www.youtube.com/watch?v=hv-tFIuhD8E&amp;t=424s", "Go to time")</f>
        <v/>
      </c>
    </row>
    <row r="3084">
      <c r="A3084">
        <f>HYPERLINK("https://www.youtube.com/watch?v=6DRMrFMNXCc", "Video")</f>
        <v/>
      </c>
      <c r="B3084" t="inlineStr">
        <is>
          <t>1:50</t>
        </is>
      </c>
      <c r="C3084" t="inlineStr">
        <is>
          <t>species that have been driven
to extinction.</t>
        </is>
      </c>
      <c r="D3084">
        <f>HYPERLINK("https://www.youtube.com/watch?v=6DRMrFMNXCc&amp;t=110s", "Go to time")</f>
        <v/>
      </c>
    </row>
    <row r="3085">
      <c r="A3085">
        <f>HYPERLINK("https://www.youtube.com/watch?v=M_X0uwAG2Jc", "Video")</f>
        <v/>
      </c>
      <c r="B3085" t="inlineStr">
        <is>
          <t>2:40</t>
        </is>
      </c>
      <c r="C3085" t="inlineStr">
        <is>
          <t>And this drive to not only teach
but also to entertain</t>
        </is>
      </c>
      <c r="D3085">
        <f>HYPERLINK("https://www.youtube.com/watch?v=M_X0uwAG2Jc&amp;t=160s", "Go to time")</f>
        <v/>
      </c>
    </row>
    <row r="3086">
      <c r="A3086">
        <f>HYPERLINK("https://www.youtube.com/watch?v=uEOK3fk45Rg", "Video")</f>
        <v/>
      </c>
      <c r="B3086" t="inlineStr">
        <is>
          <t>2:38</t>
        </is>
      </c>
      <c r="C3086" t="inlineStr">
        <is>
          <t>Photosynthesis that drives
the growth of crops</t>
        </is>
      </c>
      <c r="D3086">
        <f>HYPERLINK("https://www.youtube.com/watch?v=uEOK3fk45Rg&amp;t=158s", "Go to time")</f>
        <v/>
      </c>
    </row>
    <row r="3087">
      <c r="A3087">
        <f>HYPERLINK("https://www.youtube.com/watch?v=z7_LwuuPsAE", "Video")</f>
        <v/>
      </c>
      <c r="B3087" t="inlineStr">
        <is>
          <t>0:21</t>
        </is>
      </c>
      <c r="C3087" t="inlineStr">
        <is>
          <t>which drives Brighton residents
like me absolutely crazy.</t>
        </is>
      </c>
      <c r="D3087">
        <f>HYPERLINK("https://www.youtube.com/watch?v=z7_LwuuPsAE&amp;t=21s", "Go to time")</f>
        <v/>
      </c>
    </row>
    <row r="3088">
      <c r="A3088">
        <f>HYPERLINK("https://www.youtube.com/watch?v=CzGu9bP07i0", "Video")</f>
        <v/>
      </c>
      <c r="B3088" t="inlineStr">
        <is>
          <t>11:30</t>
        </is>
      </c>
      <c r="C3088" t="inlineStr">
        <is>
          <t>It's enough to drive you crazy.</t>
        </is>
      </c>
      <c r="D3088">
        <f>HYPERLINK("https://www.youtube.com/watch?v=CzGu9bP07i0&amp;t=690s", "Go to time")</f>
        <v/>
      </c>
    </row>
    <row r="3089">
      <c r="A3089">
        <f>HYPERLINK("https://www.youtube.com/watch?v=xAXUq-Qc8DI", "Video")</f>
        <v/>
      </c>
      <c r="B3089" t="inlineStr">
        <is>
          <t>1:33</t>
        </is>
      </c>
      <c r="C3089" t="inlineStr">
        <is>
          <t>where I'm responsible for the education
of professional delivery drivers,</t>
        </is>
      </c>
      <c r="D3089">
        <f>HYPERLINK("https://www.youtube.com/watch?v=xAXUq-Qc8DI&amp;t=93s", "Go to time")</f>
        <v/>
      </c>
    </row>
    <row r="3090">
      <c r="A3090">
        <f>HYPERLINK("https://www.youtube.com/watch?v=xAXUq-Qc8DI", "Video")</f>
        <v/>
      </c>
      <c r="B3090" t="inlineStr">
        <is>
          <t>2:03</t>
        </is>
      </c>
      <c r="C3090" t="inlineStr">
        <is>
          <t>So I teach my drivers to value perfection.</t>
        </is>
      </c>
      <c r="D3090">
        <f>HYPERLINK("https://www.youtube.com/watch?v=xAXUq-Qc8DI&amp;t=123s", "Go to time")</f>
        <v/>
      </c>
    </row>
    <row r="3091">
      <c r="A3091">
        <f>HYPERLINK("https://www.youtube.com/watch?v=xAXUq-Qc8DI", "Video")</f>
        <v/>
      </c>
      <c r="B3091" t="inlineStr">
        <is>
          <t>2:28</t>
        </is>
      </c>
      <c r="C3091" t="inlineStr">
        <is>
          <t>It's why I insist
that my drivers are on time.</t>
        </is>
      </c>
      <c r="D3091">
        <f>HYPERLINK("https://www.youtube.com/watch?v=xAXUq-Qc8DI&amp;t=148s", "Go to time")</f>
        <v/>
      </c>
    </row>
    <row r="3092">
      <c r="A3092">
        <f>HYPERLINK("https://www.youtube.com/watch?v=xAXUq-Qc8DI", "Video")</f>
        <v/>
      </c>
      <c r="B3092" t="inlineStr">
        <is>
          <t>2:40</t>
        </is>
      </c>
      <c r="C3092" t="inlineStr">
        <is>
          <t>that when I'm training them
to drive a car and I say,</t>
        </is>
      </c>
      <c r="D3092">
        <f>HYPERLINK("https://www.youtube.com/watch?v=xAXUq-Qc8DI&amp;t=160s", "Go to time")</f>
        <v/>
      </c>
    </row>
    <row r="3093">
      <c r="A3093">
        <f>HYPERLINK("https://www.youtube.com/watch?v=xAXUq-Qc8DI", "Video")</f>
        <v/>
      </c>
      <c r="B3093" t="inlineStr">
        <is>
          <t>3:27</t>
        </is>
      </c>
      <c r="C3093" t="inlineStr">
        <is>
          <t>So I don't allow my drivers to lose focus,</t>
        </is>
      </c>
      <c r="D3093">
        <f>HYPERLINK("https://www.youtube.com/watch?v=xAXUq-Qc8DI&amp;t=207s", "Go to time")</f>
        <v/>
      </c>
    </row>
    <row r="3094">
      <c r="A3094">
        <f>HYPERLINK("https://www.youtube.com/watch?v=54AYOd5S7uo", "Video")</f>
        <v/>
      </c>
      <c r="B3094" t="inlineStr">
        <is>
          <t>8:04</t>
        </is>
      </c>
      <c r="C3094" t="inlineStr">
        <is>
          <t>Also, introduce data-driven monitoring
on key business debts</t>
        </is>
      </c>
      <c r="D3094">
        <f>HYPERLINK("https://www.youtube.com/watch?v=54AYOd5S7uo&amp;t=484s", "Go to time")</f>
        <v/>
      </c>
    </row>
    <row r="3095">
      <c r="A3095">
        <f>HYPERLINK("https://www.youtube.com/watch?v=udhOs50aXts", "Video")</f>
        <v/>
      </c>
      <c r="B3095" t="inlineStr">
        <is>
          <t>13:24</t>
        </is>
      </c>
      <c r="C3095" t="inlineStr">
        <is>
          <t>to drive the transformation right now
is collective power of employees.</t>
        </is>
      </c>
      <c r="D3095">
        <f>HYPERLINK("https://www.youtube.com/watch?v=udhOs50aXts&amp;t=804s", "Go to time")</f>
        <v/>
      </c>
    </row>
    <row r="3096">
      <c r="A3096">
        <f>HYPERLINK("https://www.youtube.com/watch?v=HW2SSoYteIs", "Video")</f>
        <v/>
      </c>
      <c r="B3096" t="inlineStr">
        <is>
          <t>1:50</t>
        </is>
      </c>
      <c r="C3096" t="inlineStr">
        <is>
          <t>drive deterministic behavioral responses
to information in the world.</t>
        </is>
      </c>
      <c r="D3096">
        <f>HYPERLINK("https://www.youtube.com/watch?v=HW2SSoYteIs&amp;t=110s", "Go to time")</f>
        <v/>
      </c>
    </row>
    <row r="3097">
      <c r="A3097">
        <f>HYPERLINK("https://www.youtube.com/watch?v=HW2SSoYteIs", "Video")</f>
        <v/>
      </c>
      <c r="B3097" t="inlineStr">
        <is>
          <t>3:42</t>
        </is>
      </c>
      <c r="C3097" t="inlineStr">
        <is>
          <t>The response you're about to see
is driven entirely by mental effort</t>
        </is>
      </c>
      <c r="D3097">
        <f>HYPERLINK("https://www.youtube.com/watch?v=HW2SSoYteIs&amp;t=222s", "Go to time")</f>
        <v/>
      </c>
    </row>
    <row r="3098">
      <c r="A3098">
        <f>HYPERLINK("https://www.youtube.com/watch?v=HW2SSoYteIs", "Video")</f>
        <v/>
      </c>
      <c r="B3098" t="inlineStr">
        <is>
          <t>4:27</t>
        </is>
      </c>
      <c r="C3098" t="inlineStr">
        <is>
          <t>your autonomic nervous system
drives your pupil to dilate.</t>
        </is>
      </c>
      <c r="D3098">
        <f>HYPERLINK("https://www.youtube.com/watch?v=HW2SSoYteIs&amp;t=267s", "Go to time")</f>
        <v/>
      </c>
    </row>
    <row r="3099">
      <c r="A3099">
        <f>HYPERLINK("https://www.youtube.com/watch?v=NYJUgzZYaoo", "Video")</f>
        <v/>
      </c>
      <c r="B3099" t="inlineStr">
        <is>
          <t>5:57</t>
        </is>
      </c>
      <c r="C3099" t="inlineStr">
        <is>
          <t>fun-to-drive, sexy electric vehicles.</t>
        </is>
      </c>
      <c r="D3099">
        <f>HYPERLINK("https://www.youtube.com/watch?v=NYJUgzZYaoo&amp;t=357s", "Go to time")</f>
        <v/>
      </c>
    </row>
    <row r="3100">
      <c r="A3100">
        <f>HYPERLINK("https://www.youtube.com/watch?v=hnygd-8rriU", "Video")</f>
        <v/>
      </c>
      <c r="B3100" t="inlineStr">
        <is>
          <t>31:47</t>
        </is>
      </c>
      <c r="C3100" t="inlineStr">
        <is>
          <t>has been overwhelmingly driven</t>
        </is>
      </c>
      <c r="D3100">
        <f>HYPERLINK("https://www.youtube.com/watch?v=hnygd-8rriU&amp;t=1907s", "Go to time")</f>
        <v/>
      </c>
    </row>
    <row r="3101">
      <c r="A3101">
        <f>HYPERLINK("https://www.youtube.com/watch?v=hnygd-8rriU", "Video")</f>
        <v/>
      </c>
      <c r="B3101" t="inlineStr">
        <is>
          <t>41:28</t>
        </is>
      </c>
      <c r="C3101" t="inlineStr">
        <is>
          <t>that is able to drive new technologies,</t>
        </is>
      </c>
      <c r="D3101">
        <f>HYPERLINK("https://www.youtube.com/watch?v=hnygd-8rriU&amp;t=2488s", "Go to time")</f>
        <v/>
      </c>
    </row>
    <row r="3102">
      <c r="A3102">
        <f>HYPERLINK("https://www.youtube.com/watch?v=hnygd-8rriU", "Video")</f>
        <v/>
      </c>
      <c r="B3102" t="inlineStr">
        <is>
          <t>44:31</t>
        </is>
      </c>
      <c r="C3102" t="inlineStr">
        <is>
          <t>It's that in a world where the United
States drives this model that is,</t>
        </is>
      </c>
      <c r="D3102">
        <f>HYPERLINK("https://www.youtube.com/watch?v=hnygd-8rriU&amp;t=2671s", "Go to time")</f>
        <v/>
      </c>
    </row>
    <row r="3103">
      <c r="A3103">
        <f>HYPERLINK("https://www.youtube.com/watch?v=hnygd-8rriU", "Video")</f>
        <v/>
      </c>
      <c r="B3103" t="inlineStr">
        <is>
          <t>44:37</t>
        </is>
      </c>
      <c r="C3103" t="inlineStr">
        <is>
          <t>you know, incredibly state
and private sector-driven --</t>
        </is>
      </c>
      <c r="D3103">
        <f>HYPERLINK("https://www.youtube.com/watch?v=hnygd-8rriU&amp;t=2677s", "Go to time")</f>
        <v/>
      </c>
    </row>
    <row r="3104">
      <c r="A3104">
        <f>HYPERLINK("https://www.youtube.com/watch?v=hnygd-8rriU", "Video")</f>
        <v/>
      </c>
      <c r="B3104" t="inlineStr">
        <is>
          <t>46:05</t>
        </is>
      </c>
      <c r="C3104" t="inlineStr">
        <is>
          <t>very uncomfortable with a world
that is being increasingly driven</t>
        </is>
      </c>
      <c r="D3104">
        <f>HYPERLINK("https://www.youtube.com/watch?v=hnygd-8rriU&amp;t=2765s", "Go to time")</f>
        <v/>
      </c>
    </row>
    <row r="3105">
      <c r="A3105">
        <f>HYPERLINK("https://www.youtube.com/watch?v=pxEcvU0Vp_M", "Video")</f>
        <v/>
      </c>
      <c r="B3105" t="inlineStr">
        <is>
          <t>4:57</t>
        </is>
      </c>
      <c r="C3105" t="inlineStr">
        <is>
          <t>is really more like a car
idling in drive than a car in park.</t>
        </is>
      </c>
      <c r="D3105">
        <f>HYPERLINK("https://www.youtube.com/watch?v=pxEcvU0Vp_M&amp;t=297s", "Go to time")</f>
        <v/>
      </c>
    </row>
    <row r="3106">
      <c r="A3106">
        <f>HYPERLINK("https://www.youtube.com/watch?v=JFjv971_NZM", "Video")</f>
        <v/>
      </c>
      <c r="B3106" t="inlineStr">
        <is>
          <t>8:32</t>
        </is>
      </c>
      <c r="C3106" t="inlineStr">
        <is>
          <t>she's a backseat driver,</t>
        </is>
      </c>
      <c r="D3106">
        <f>HYPERLINK("https://www.youtube.com/watch?v=JFjv971_NZM&amp;t=512s", "Go to time")</f>
        <v/>
      </c>
    </row>
    <row r="3107">
      <c r="A3107">
        <f>HYPERLINK("https://www.youtube.com/watch?v=GTmQF2ABid0", "Video")</f>
        <v/>
      </c>
      <c r="B3107" t="inlineStr">
        <is>
          <t>2:36</t>
        </is>
      </c>
      <c r="C3107" t="inlineStr">
        <is>
          <t>And it’s almost always intermingling
with other drivers of instability,</t>
        </is>
      </c>
      <c r="D3107">
        <f>HYPERLINK("https://www.youtube.com/watch?v=GTmQF2ABid0&amp;t=156s", "Go to time")</f>
        <v/>
      </c>
    </row>
    <row r="3108">
      <c r="A3108">
        <f>HYPERLINK("https://www.youtube.com/watch?v=ajGgd9Ld-Wc", "Video")</f>
        <v/>
      </c>
      <c r="B3108" t="inlineStr">
        <is>
          <t>2:49</t>
        </is>
      </c>
      <c r="C3108" t="inlineStr">
        <is>
          <t>it can actually drive a car
as well as a human being</t>
        </is>
      </c>
      <c r="D3108">
        <f>HYPERLINK("https://www.youtube.com/watch?v=ajGgd9Ld-Wc&amp;t=169s", "Go to time")</f>
        <v/>
      </c>
    </row>
    <row r="3109">
      <c r="A3109">
        <f>HYPERLINK("https://www.youtube.com/watch?v=ajGgd9Ld-Wc", "Video")</f>
        <v/>
      </c>
      <c r="B3109" t="inlineStr">
        <is>
          <t>7:25</t>
        </is>
      </c>
      <c r="C3109" t="inlineStr">
        <is>
          <t>to drive the fastest
revolution in technology</t>
        </is>
      </c>
      <c r="D3109">
        <f>HYPERLINK("https://www.youtube.com/watch?v=ajGgd9Ld-Wc&amp;t=445s", "Go to time")</f>
        <v/>
      </c>
    </row>
    <row r="3110">
      <c r="A3110">
        <f>HYPERLINK("https://www.youtube.com/watch?v=ajGgd9Ld-Wc", "Video")</f>
        <v/>
      </c>
      <c r="B3110" t="inlineStr">
        <is>
          <t>8:14</t>
        </is>
      </c>
      <c r="C3110" t="inlineStr">
        <is>
          <t>but truckers, drivers</t>
        </is>
      </c>
      <c r="D3110">
        <f>HYPERLINK("https://www.youtube.com/watch?v=ajGgd9Ld-Wc&amp;t=494s", "Go to time")</f>
        <v/>
      </c>
    </row>
    <row r="3111">
      <c r="A3111">
        <f>HYPERLINK("https://www.youtube.com/watch?v=Lu1UamHgIbI", "Video")</f>
        <v/>
      </c>
      <c r="B3111" t="inlineStr">
        <is>
          <t>1:36</t>
        </is>
      </c>
      <c r="C3111" t="inlineStr">
        <is>
          <t>which is one of the most common
drivers of a good and bad performance.</t>
        </is>
      </c>
      <c r="D3111">
        <f>HYPERLINK("https://www.youtube.com/watch?v=Lu1UamHgIbI&amp;t=96s", "Go to time")</f>
        <v/>
      </c>
    </row>
    <row r="3112">
      <c r="A3112">
        <f>HYPERLINK("https://www.youtube.com/watch?v=s6rJLXq1Re0", "Video")</f>
        <v/>
      </c>
      <c r="B3112" t="inlineStr">
        <is>
          <t>1:18</t>
        </is>
      </c>
      <c r="C3112" t="inlineStr">
        <is>
          <t>How many thumb drives can you fill?</t>
        </is>
      </c>
      <c r="D3112">
        <f>HYPERLINK("https://www.youtube.com/watch?v=s6rJLXq1Re0&amp;t=78s", "Go to time")</f>
        <v/>
      </c>
    </row>
    <row r="3113">
      <c r="A3113">
        <f>HYPERLINK("https://www.youtube.com/watch?v=s6rJLXq1Re0", "Video")</f>
        <v/>
      </c>
      <c r="B3113" t="inlineStr">
        <is>
          <t>1:53</t>
        </is>
      </c>
      <c r="C3113" t="inlineStr">
        <is>
          <t>the file that I will save in my thumb
drive to assemble a little baby,</t>
        </is>
      </c>
      <c r="D3113">
        <f>HYPERLINK("https://www.youtube.com/watch?v=s6rJLXq1Re0&amp;t=113s", "Go to time")</f>
        <v/>
      </c>
    </row>
    <row r="3114">
      <c r="A3114">
        <f>HYPERLINK("https://www.youtube.com/watch?v=s6rJLXq1Re0", "Video")</f>
        <v/>
      </c>
      <c r="B3114" t="inlineStr">
        <is>
          <t>1:58</t>
        </is>
      </c>
      <c r="C3114" t="inlineStr">
        <is>
          <t>will actually fill an entire Titanic
of thumb drives --</t>
        </is>
      </c>
      <c r="D3114">
        <f>HYPERLINK("https://www.youtube.com/watch?v=s6rJLXq1Re0&amp;t=118s", "Go to time")</f>
        <v/>
      </c>
    </row>
    <row r="3115">
      <c r="A3115">
        <f>HYPERLINK("https://www.youtube.com/watch?v=mz_4QLvz2HM", "Video")</f>
        <v/>
      </c>
      <c r="B3115" t="inlineStr">
        <is>
          <t>2:27</t>
        </is>
      </c>
      <c r="C3115" t="inlineStr">
        <is>
          <t>the focus on diversity
tends to drive backlash</t>
        </is>
      </c>
      <c r="D3115">
        <f>HYPERLINK("https://www.youtube.com/watch?v=mz_4QLvz2HM&amp;t=147s", "Go to time")</f>
        <v/>
      </c>
    </row>
    <row r="3116">
      <c r="A3116">
        <f>HYPERLINK("https://www.youtube.com/watch?v=4R7mX6pChSA", "Video")</f>
        <v/>
      </c>
      <c r="B3116" t="inlineStr">
        <is>
          <t>7:34</t>
        </is>
      </c>
      <c r="C3116" t="inlineStr">
        <is>
          <t>principles we then can drive the four</t>
        </is>
      </c>
      <c r="D3116">
        <f>HYPERLINK("https://www.youtube.com/watch?v=4R7mX6pChSA&amp;t=454s", "Go to time")</f>
        <v/>
      </c>
    </row>
    <row r="3117">
      <c r="A3117">
        <f>HYPERLINK("https://www.youtube.com/watch?v=4R7mX6pChSA", "Video")</f>
        <v/>
      </c>
      <c r="B3117" t="inlineStr">
        <is>
          <t>8:28</t>
        </is>
      </c>
      <c r="C3117" t="inlineStr">
        <is>
          <t>drives life above ground is that life</t>
        </is>
      </c>
      <c r="D3117">
        <f>HYPERLINK("https://www.youtube.com/watch?v=4R7mX6pChSA&amp;t=508s", "Go to time")</f>
        <v/>
      </c>
    </row>
    <row r="3118">
      <c r="A3118">
        <f>HYPERLINK("https://www.youtube.com/watch?v=4R7mX6pChSA", "Video")</f>
        <v/>
      </c>
      <c r="B3118" t="inlineStr">
        <is>
          <t>8:49</t>
        </is>
      </c>
      <c r="C3118" t="inlineStr">
        <is>
          <t>what did I do on our Ranch to drive life</t>
        </is>
      </c>
      <c r="D3118">
        <f>HYPERLINK("https://www.youtube.com/watch?v=4R7mX6pChSA&amp;t=529s", "Go to time")</f>
        <v/>
      </c>
    </row>
    <row r="3119">
      <c r="A3119">
        <f>HYPERLINK("https://www.youtube.com/watch?v=Lz9CQ2zKt3M", "Video")</f>
        <v/>
      </c>
      <c r="B3119" t="inlineStr">
        <is>
          <t>18:12</t>
        </is>
      </c>
      <c r="C3119" t="inlineStr">
        <is>
          <t>particularly driven
by venture capital investment,</t>
        </is>
      </c>
      <c r="D3119">
        <f>HYPERLINK("https://www.youtube.com/watch?v=Lz9CQ2zKt3M&amp;t=1092s", "Go to time")</f>
        <v/>
      </c>
    </row>
    <row r="3120">
      <c r="A3120">
        <f>HYPERLINK("https://www.youtube.com/watch?v=Lz9CQ2zKt3M", "Video")</f>
        <v/>
      </c>
      <c r="B3120" t="inlineStr">
        <is>
          <t>18:28</t>
        </is>
      </c>
      <c r="C3120" t="inlineStr">
        <is>
          <t>drives a lot of things
that we've done all through history.</t>
        </is>
      </c>
      <c r="D3120">
        <f>HYPERLINK("https://www.youtube.com/watch?v=Lz9CQ2zKt3M&amp;t=1108s", "Go to time")</f>
        <v/>
      </c>
    </row>
    <row r="3121">
      <c r="A3121">
        <f>HYPERLINK("https://www.youtube.com/watch?v=Lz9CQ2zKt3M", "Video")</f>
        <v/>
      </c>
      <c r="B3121" t="inlineStr">
        <is>
          <t>30:42</t>
        </is>
      </c>
      <c r="C3121" t="inlineStr">
        <is>
          <t>that is driven by this
heightened inequality</t>
        </is>
      </c>
      <c r="D3121">
        <f>HYPERLINK("https://www.youtube.com/watch?v=Lz9CQ2zKt3M&amp;t=1842s", "Go to time")</f>
        <v/>
      </c>
    </row>
    <row r="3122">
      <c r="A3122">
        <f>HYPERLINK("https://www.youtube.com/watch?v=Lz9CQ2zKt3M", "Video")</f>
        <v/>
      </c>
      <c r="B3122" t="inlineStr">
        <is>
          <t>36:03</t>
        </is>
      </c>
      <c r="C3122" t="inlineStr">
        <is>
          <t>and the engines themselves, etc,
that will drive the car, the motors,</t>
        </is>
      </c>
      <c r="D3122">
        <f>HYPERLINK("https://www.youtube.com/watch?v=Lz9CQ2zKt3M&amp;t=2163s", "Go to time")</f>
        <v/>
      </c>
    </row>
    <row r="3123">
      <c r="A3123">
        <f>HYPERLINK("https://www.youtube.com/watch?v=8UNCvk9YXOo", "Video")</f>
        <v/>
      </c>
      <c r="B3123" t="inlineStr">
        <is>
          <t>0:12</t>
        </is>
      </c>
      <c r="C3123" t="inlineStr">
        <is>
          <t>The drive through the world's
most secure prison is beautiful.</t>
        </is>
      </c>
      <c r="D3123">
        <f>HYPERLINK("https://www.youtube.com/watch?v=8UNCvk9YXOo&amp;t=12s", "Go to time")</f>
        <v/>
      </c>
    </row>
    <row r="3124">
      <c r="A3124">
        <f>HYPERLINK("https://www.youtube.com/watch?v=5CSDIcUsIJk", "Video")</f>
        <v/>
      </c>
      <c r="B3124" t="inlineStr">
        <is>
          <t>3:51</t>
        </is>
      </c>
      <c r="C3124" t="inlineStr">
        <is>
          <t>were waiting at the top of Hawi
to drive me back to town.</t>
        </is>
      </c>
      <c r="D3124">
        <f>HYPERLINK("https://www.youtube.com/watch?v=5CSDIcUsIJk&amp;t=231s", "Go to time")</f>
        <v/>
      </c>
    </row>
    <row r="3125">
      <c r="A3125">
        <f>HYPERLINK("https://www.youtube.com/watch?v=5CSDIcUsIJk", "Video")</f>
        <v/>
      </c>
      <c r="B3125" t="inlineStr">
        <is>
          <t>9:22</t>
        </is>
      </c>
      <c r="C3125" t="inlineStr">
        <is>
          <t>I made that final right-hand turn
onto Ali'i Drive.</t>
        </is>
      </c>
      <c r="D3125">
        <f>HYPERLINK("https://www.youtube.com/watch?v=5CSDIcUsIJk&amp;t=562s", "Go to time")</f>
        <v/>
      </c>
    </row>
    <row r="3126">
      <c r="A3126">
        <f>HYPERLINK("https://www.youtube.com/watch?v=gmj-azFbpkA", "Video")</f>
        <v/>
      </c>
      <c r="B3126" t="inlineStr">
        <is>
          <t>5:06</t>
        </is>
      </c>
      <c r="C3126" t="inlineStr">
        <is>
          <t>and I could drive it forever.</t>
        </is>
      </c>
      <c r="D3126">
        <f>HYPERLINK("https://www.youtube.com/watch?v=gmj-azFbpkA&amp;t=306s", "Go to time")</f>
        <v/>
      </c>
    </row>
    <row r="3127">
      <c r="A3127">
        <f>HYPERLINK("https://www.youtube.com/watch?v=gmj-azFbpkA", "Video")</f>
        <v/>
      </c>
      <c r="B3127" t="inlineStr">
        <is>
          <t>16:48</t>
        </is>
      </c>
      <c r="C3127" t="inlineStr">
        <is>
          <t>and the humming road is open,
and I can drive it and drive it,</t>
        </is>
      </c>
      <c r="D3127">
        <f>HYPERLINK("https://www.youtube.com/watch?v=gmj-azFbpkA&amp;t=1008s", "Go to time")</f>
        <v/>
      </c>
    </row>
    <row r="3128">
      <c r="A3128">
        <f>HYPERLINK("https://www.youtube.com/watch?v=i5vZkaUk528", "Video")</f>
        <v/>
      </c>
      <c r="B3128" t="inlineStr">
        <is>
          <t>7:09</t>
        </is>
      </c>
      <c r="C3128" t="inlineStr">
        <is>
          <t>that drive the way we make
our health decisions.</t>
        </is>
      </c>
      <c r="D3128">
        <f>HYPERLINK("https://www.youtube.com/watch?v=i5vZkaUk528&amp;t=429s", "Go to time")</f>
        <v/>
      </c>
    </row>
    <row r="3129">
      <c r="A3129">
        <f>HYPERLINK("https://www.youtube.com/watch?v=EpipswT-LuE", "Video")</f>
        <v/>
      </c>
      <c r="B3129" t="inlineStr">
        <is>
          <t>2:44</t>
        </is>
      </c>
      <c r="C3129" t="inlineStr">
        <is>
          <t>hidden away on hard drives
that never see the light of day.</t>
        </is>
      </c>
      <c r="D3129">
        <f>HYPERLINK("https://www.youtube.com/watch?v=EpipswT-LuE&amp;t=164s", "Go to time")</f>
        <v/>
      </c>
    </row>
    <row r="3130">
      <c r="A3130">
        <f>HYPERLINK("https://www.youtube.com/watch?v=ZJPdJuhI03U", "Video")</f>
        <v/>
      </c>
      <c r="B3130" t="inlineStr">
        <is>
          <t>11:52</t>
        </is>
      </c>
      <c r="C3130" t="inlineStr">
        <is>
          <t>if we were to go out
with gene drives to control malaria,</t>
        </is>
      </c>
      <c r="D3130">
        <f>HYPERLINK("https://www.youtube.com/watch?v=ZJPdJuhI03U&amp;t=712s", "Go to time")</f>
        <v/>
      </c>
    </row>
    <row r="3131">
      <c r="A3131">
        <f>HYPERLINK("https://www.youtube.com/watch?v=BEBKC7Hqfr0", "Video")</f>
        <v/>
      </c>
      <c r="B3131" t="inlineStr">
        <is>
          <t>8:28</t>
        </is>
      </c>
      <c r="C3131" t="inlineStr">
        <is>
          <t>and wind driven missiles.</t>
        </is>
      </c>
      <c r="D3131">
        <f>HYPERLINK("https://www.youtube.com/watch?v=BEBKC7Hqfr0&amp;t=508s", "Go to time")</f>
        <v/>
      </c>
    </row>
    <row r="3132">
      <c r="A3132">
        <f>HYPERLINK("https://www.youtube.com/watch?v=yHGRBTZI6w0", "Video")</f>
        <v/>
      </c>
      <c r="B3132" t="inlineStr">
        <is>
          <t>3:53</t>
        </is>
      </c>
      <c r="C3132" t="inlineStr">
        <is>
          <t>So it can be anything
from a purpose driven lens.</t>
        </is>
      </c>
      <c r="D3132">
        <f>HYPERLINK("https://www.youtube.com/watch?v=yHGRBTZI6w0&amp;t=233s", "Go to time")</f>
        <v/>
      </c>
    </row>
    <row r="3133">
      <c r="A3133">
        <f>HYPERLINK("https://www.youtube.com/watch?v=yHGRBTZI6w0", "Video")</f>
        <v/>
      </c>
      <c r="B3133" t="inlineStr">
        <is>
          <t>4:44</t>
        </is>
      </c>
      <c r="C3133" t="inlineStr">
        <is>
          <t>And that, in turn, drives
your profitability and your profits.</t>
        </is>
      </c>
      <c r="D3133">
        <f>HYPERLINK("https://www.youtube.com/watch?v=yHGRBTZI6w0&amp;t=284s", "Go to time")</f>
        <v/>
      </c>
    </row>
    <row r="3134">
      <c r="A3134">
        <f>HYPERLINK("https://www.youtube.com/watch?v=JfeRLwlnuHo", "Video")</f>
        <v/>
      </c>
      <c r="B3134" t="inlineStr">
        <is>
          <t>6:51</t>
        </is>
      </c>
      <c r="C3134" t="inlineStr">
        <is>
          <t>economic expansion
driven by clean technologies.</t>
        </is>
      </c>
      <c r="D3134">
        <f>HYPERLINK("https://www.youtube.com/watch?v=JfeRLwlnuHo&amp;t=411s", "Go to time")</f>
        <v/>
      </c>
    </row>
    <row r="3135">
      <c r="A3135">
        <f>HYPERLINK("https://www.youtube.com/watch?v=8VcE5KWpc5A", "Video")</f>
        <v/>
      </c>
      <c r="B3135" t="inlineStr">
        <is>
          <t>3:24</t>
        </is>
      </c>
      <c r="C3135" t="inlineStr">
        <is>
          <t>and about six months ago we launched
a data-driven research project</t>
        </is>
      </c>
      <c r="D3135">
        <f>HYPERLINK("https://www.youtube.com/watch?v=8VcE5KWpc5A&amp;t=204s", "Go to time")</f>
        <v/>
      </c>
    </row>
    <row r="3136">
      <c r="A3136">
        <f>HYPERLINK("https://www.youtube.com/watch?v=QuxF2IpOG3U", "Video")</f>
        <v/>
      </c>
      <c r="B3136" t="inlineStr">
        <is>
          <t>5:34</t>
        </is>
      </c>
      <c r="C3136" t="inlineStr">
        <is>
          <t>as a poster child for technology-driven
governance and innovation.</t>
        </is>
      </c>
      <c r="D3136">
        <f>HYPERLINK("https://www.youtube.com/watch?v=QuxF2IpOG3U&amp;t=334s", "Go to time")</f>
        <v/>
      </c>
    </row>
    <row r="3137">
      <c r="A3137">
        <f>HYPERLINK("https://www.youtube.com/watch?v=H9ZOpQzjukY", "Video")</f>
        <v/>
      </c>
      <c r="B3137" t="inlineStr">
        <is>
          <t>5:35</t>
        </is>
      </c>
      <c r="C3137" t="inlineStr">
        <is>
          <t>we use neuroscience to drive
our design guidelines,</t>
        </is>
      </c>
      <c r="D3137">
        <f>HYPERLINK("https://www.youtube.com/watch?v=H9ZOpQzjukY&amp;t=335s", "Go to time")</f>
        <v/>
      </c>
    </row>
    <row r="3138">
      <c r="A3138">
        <f>HYPERLINK("https://www.youtube.com/watch?v=XOySX6sE_8s", "Video")</f>
        <v/>
      </c>
      <c r="B3138" t="inlineStr">
        <is>
          <t>7:35</t>
        </is>
      </c>
      <c r="C3138" t="inlineStr">
        <is>
          <t>Many want to think that income differences
drive these disparities,</t>
        </is>
      </c>
      <c r="D3138">
        <f>HYPERLINK("https://www.youtube.com/watch?v=XOySX6sE_8s&amp;t=455s", "Go to time")</f>
        <v/>
      </c>
    </row>
    <row r="3139">
      <c r="A3139">
        <f>HYPERLINK("https://www.youtube.com/watch?v=TOUqiVIuPo0", "Video")</f>
        <v/>
      </c>
      <c r="B3139" t="inlineStr">
        <is>
          <t>5:07</t>
        </is>
      </c>
      <c r="C3139" t="inlineStr">
        <is>
          <t>but they are also facilitating
data-driven mass surveillance.</t>
        </is>
      </c>
      <c r="D3139">
        <f>HYPERLINK("https://www.youtube.com/watch?v=TOUqiVIuPo0&amp;t=307s", "Go to time")</f>
        <v/>
      </c>
    </row>
    <row r="3140">
      <c r="A3140">
        <f>HYPERLINK("https://www.youtube.com/watch?v=TOUqiVIuPo0", "Video")</f>
        <v/>
      </c>
      <c r="B3140" t="inlineStr">
        <is>
          <t>15:36</t>
        </is>
      </c>
      <c r="C3140" t="inlineStr">
        <is>
          <t>It's your driver's license,
your debit card and your phone.</t>
        </is>
      </c>
      <c r="D3140">
        <f>HYPERLINK("https://www.youtube.com/watch?v=TOUqiVIuPo0&amp;t=936s", "Go to time")</f>
        <v/>
      </c>
    </row>
    <row r="3141">
      <c r="A3141">
        <f>HYPERLINK("https://www.youtube.com/watch?v=vQILP19qABk", "Video")</f>
        <v/>
      </c>
      <c r="B3141" t="inlineStr">
        <is>
          <t>10:21</t>
        </is>
      </c>
      <c r="C3141" t="inlineStr">
        <is>
          <t>They used data all the way
to drive their decision-making,</t>
        </is>
      </c>
      <c r="D3141">
        <f>HYPERLINK("https://www.youtube.com/watch?v=vQILP19qABk&amp;t=621s", "Go to time")</f>
        <v/>
      </c>
    </row>
    <row r="3142">
      <c r="A3142">
        <f>HYPERLINK("https://www.youtube.com/watch?v=vQILP19qABk", "Video")</f>
        <v/>
      </c>
      <c r="B3142" t="inlineStr">
        <is>
          <t>10:49</t>
        </is>
      </c>
      <c r="C3142" t="inlineStr">
        <is>
          <t>when data is starting
to drive those decisions.</t>
        </is>
      </c>
      <c r="D3142">
        <f>HYPERLINK("https://www.youtube.com/watch?v=vQILP19qABk&amp;t=649s", "Go to time")</f>
        <v/>
      </c>
    </row>
    <row r="3143">
      <c r="A3143">
        <f>HYPERLINK("https://www.youtube.com/watch?v=rThUrXYaneo", "Video")</f>
        <v/>
      </c>
      <c r="B3143" t="inlineStr">
        <is>
          <t>0:12</t>
        </is>
      </c>
      <c r="C3143" t="inlineStr">
        <is>
          <t>So, imagine that you take
a 19-hour, very long drive</t>
        </is>
      </c>
      <c r="D3143">
        <f>HYPERLINK("https://www.youtube.com/watch?v=rThUrXYaneo&amp;t=12s", "Go to time")</f>
        <v/>
      </c>
    </row>
    <row r="3144">
      <c r="A3144">
        <f>HYPERLINK("https://www.youtube.com/watch?v=rThUrXYaneo", "Video")</f>
        <v/>
      </c>
      <c r="B3144" t="inlineStr">
        <is>
          <t>0:47</t>
        </is>
      </c>
      <c r="C3144" t="inlineStr">
        <is>
          <t>You drive 19 long hours back home.</t>
        </is>
      </c>
      <c r="D3144">
        <f>HYPERLINK("https://www.youtube.com/watch?v=rThUrXYaneo&amp;t=47s", "Go to time")</f>
        <v/>
      </c>
    </row>
    <row r="3145">
      <c r="A3145">
        <f>HYPERLINK("https://www.youtube.com/watch?v=tZ7ySrDVqOs", "Video")</f>
        <v/>
      </c>
      <c r="B3145" t="inlineStr">
        <is>
          <t>7:08</t>
        </is>
      </c>
      <c r="C3145" t="inlineStr">
        <is>
          <t>It drives better quality
when we capture ideas day and night</t>
        </is>
      </c>
      <c r="D3145">
        <f>HYPERLINK("https://www.youtube.com/watch?v=tZ7ySrDVqOs&amp;t=428s", "Go to time")</f>
        <v/>
      </c>
    </row>
    <row r="3146">
      <c r="A3146">
        <f>HYPERLINK("https://www.youtube.com/watch?v=k8d5Pf7VIiU", "Video")</f>
        <v/>
      </c>
      <c r="B3146" t="inlineStr">
        <is>
          <t>1:24</t>
        </is>
      </c>
      <c r="C3146" t="inlineStr">
        <is>
          <t>producing steam that drives a traditional turbine,</t>
        </is>
      </c>
      <c r="D3146">
        <f>HYPERLINK("https://www.youtube.com/watch?v=k8d5Pf7VIiU&amp;t=84s", "Go to time")</f>
        <v/>
      </c>
    </row>
    <row r="3147">
      <c r="A3147">
        <f>HYPERLINK("https://www.youtube.com/watch?v=e4Mj6wOURSg", "Video")</f>
        <v/>
      </c>
      <c r="B3147" t="inlineStr">
        <is>
          <t>1:06</t>
        </is>
      </c>
      <c r="C3147" t="inlineStr">
        <is>
          <t>This infusion of energy drives intense
coastal phytoplankton blooms,</t>
        </is>
      </c>
      <c r="D3147">
        <f>HYPERLINK("https://www.youtube.com/watch?v=e4Mj6wOURSg&amp;t=66s", "Go to time")</f>
        <v/>
      </c>
    </row>
    <row r="3148">
      <c r="A3148">
        <f>HYPERLINK("https://www.youtube.com/watch?v=FrK9WDMOqBI", "Video")</f>
        <v/>
      </c>
      <c r="B3148" t="inlineStr">
        <is>
          <t>1:02</t>
        </is>
      </c>
      <c r="C3148" t="inlineStr">
        <is>
          <t>seems to have driven 
the evolution of the blue whale.</t>
        </is>
      </c>
      <c r="D3148">
        <f>HYPERLINK("https://www.youtube.com/watch?v=FrK9WDMOqBI&amp;t=62s", "Go to time")</f>
        <v/>
      </c>
    </row>
    <row r="3149">
      <c r="A3149">
        <f>HYPERLINK("https://www.youtube.com/watch?v=mpRJhhbKLFc", "Video")</f>
        <v/>
      </c>
      <c r="B3149" t="inlineStr">
        <is>
          <t>1:12</t>
        </is>
      </c>
      <c r="C3149" t="inlineStr">
        <is>
          <t>and Earth’s tides in particular
are mostly driven by the Moon.</t>
        </is>
      </c>
      <c r="D3149">
        <f>HYPERLINK("https://www.youtube.com/watch?v=mpRJhhbKLFc&amp;t=72s", "Go to time")</f>
        <v/>
      </c>
    </row>
    <row r="3150">
      <c r="A3150">
        <f>HYPERLINK("https://www.youtube.com/watch?v=40KRCazHyuw", "Video")</f>
        <v/>
      </c>
      <c r="B3150" t="inlineStr">
        <is>
          <t>3:11</t>
        </is>
      </c>
      <c r="C3150" t="inlineStr">
        <is>
          <t>But it’s still driven to protect 
its home against rivals.</t>
        </is>
      </c>
      <c r="D3150">
        <f>HYPERLINK("https://www.youtube.com/watch?v=40KRCazHyuw&amp;t=191s", "Go to time")</f>
        <v/>
      </c>
    </row>
    <row r="3151">
      <c r="A3151">
        <f>HYPERLINK("https://www.youtube.com/watch?v=40KRCazHyuw", "Video")</f>
        <v/>
      </c>
      <c r="B3151" t="inlineStr">
        <is>
          <t>3:53</t>
        </is>
      </c>
      <c r="C3151" t="inlineStr">
        <is>
          <t>who are especially likely 
to be driven away.</t>
        </is>
      </c>
      <c r="D3151">
        <f>HYPERLINK("https://www.youtube.com/watch?v=40KRCazHyuw&amp;t=233s", "Go to time")</f>
        <v/>
      </c>
    </row>
    <row r="3152">
      <c r="A3152">
        <f>HYPERLINK("https://www.youtube.com/watch?v=Vtkv3-endYc", "Video")</f>
        <v/>
      </c>
      <c r="B3152" t="inlineStr">
        <is>
          <t>0:06</t>
        </is>
      </c>
      <c r="C3152" t="inlineStr">
        <is>
          <t>What drives someone to kill in cold blood?</t>
        </is>
      </c>
      <c r="D3152">
        <f>HYPERLINK("https://www.youtube.com/watch?v=Vtkv3-endYc&amp;t=6s", "Go to time")</f>
        <v/>
      </c>
    </row>
    <row r="3153">
      <c r="A3153">
        <f>HYPERLINK("https://www.youtube.com/watch?v=R7WPEYGr1Vs", "Video")</f>
        <v/>
      </c>
      <c r="B3153" t="inlineStr">
        <is>
          <t>4:36</t>
        </is>
      </c>
      <c r="C3153" t="inlineStr">
        <is>
          <t>This heat is eventually used to drive
an electric turbine generator by steam</t>
        </is>
      </c>
      <c r="D3153">
        <f>HYPERLINK("https://www.youtube.com/watch?v=R7WPEYGr1Vs&amp;t=276s", "Go to time")</f>
        <v/>
      </c>
    </row>
    <row r="3154">
      <c r="A3154">
        <f>HYPERLINK("https://www.youtube.com/watch?v=nAljnpoKVLw", "Video")</f>
        <v/>
      </c>
      <c r="B3154" t="inlineStr">
        <is>
          <t>2:13</t>
        </is>
      </c>
      <c r="C3154" t="inlineStr">
        <is>
          <t>waiting until 2011 and now you can drive</t>
        </is>
      </c>
      <c r="D3154">
        <f>HYPERLINK("https://www.youtube.com/watch?v=nAljnpoKVLw&amp;t=133s", "Go to time")</f>
        <v/>
      </c>
    </row>
    <row r="3155">
      <c r="A3155">
        <f>HYPERLINK("https://www.youtube.com/watch?v=oiAQlDBJ88U", "Video")</f>
        <v/>
      </c>
      <c r="B3155" t="inlineStr">
        <is>
          <t>3:03</t>
        </is>
      </c>
      <c r="C3155" t="inlineStr">
        <is>
          <t>driven by logical thinking 
thanks to the executive network.</t>
        </is>
      </c>
      <c r="D3155">
        <f>HYPERLINK("https://www.youtube.com/watch?v=oiAQlDBJ88U&amp;t=183s", "Go to time")</f>
        <v/>
      </c>
    </row>
    <row r="3156">
      <c r="A3156">
        <f>HYPERLINK("https://www.youtube.com/watch?v=G0My5NfboxM", "Video")</f>
        <v/>
      </c>
      <c r="B3156" t="inlineStr">
        <is>
          <t>4:21</t>
        </is>
      </c>
      <c r="C3156" t="inlineStr">
        <is>
          <t>Meadow is a 3 and 1 half hour drive east</t>
        </is>
      </c>
      <c r="D3156">
        <f>HYPERLINK("https://www.youtube.com/watch?v=G0My5NfboxM&amp;t=261s", "Go to time")</f>
        <v/>
      </c>
    </row>
    <row r="3157">
      <c r="A3157">
        <f>HYPERLINK("https://www.youtube.com/watch?v=W5w75eGTnag", "Video")</f>
        <v/>
      </c>
      <c r="B3157" t="inlineStr">
        <is>
          <t>3:14</t>
        </is>
      </c>
      <c r="C3157" t="inlineStr">
        <is>
          <t>pretrial detention has been the main
driver of jail growth in America.</t>
        </is>
      </c>
      <c r="D3157">
        <f>HYPERLINK("https://www.youtube.com/watch?v=W5w75eGTnag&amp;t=194s", "Go to time")</f>
        <v/>
      </c>
    </row>
    <row r="3158">
      <c r="A3158">
        <f>HYPERLINK("https://www.youtube.com/watch?v=Ya9S6PyC1Sg", "Video")</f>
        <v/>
      </c>
      <c r="B3158" t="inlineStr">
        <is>
          <t>0:16</t>
        </is>
      </c>
      <c r="C3158" t="inlineStr">
        <is>
          <t>You and the professor have driven
your hovering DeLorean back to the past</t>
        </is>
      </c>
      <c r="D3158">
        <f>HYPERLINK("https://www.youtube.com/watch?v=Ya9S6PyC1Sg&amp;t=16s", "Go to time")</f>
        <v/>
      </c>
    </row>
    <row r="3159">
      <c r="A3159">
        <f>HYPERLINK("https://www.youtube.com/watch?v=Ya9S6PyC1Sg", "Video")</f>
        <v/>
      </c>
      <c r="B3159" t="inlineStr">
        <is>
          <t>1:02</t>
        </is>
      </c>
      <c r="C3159" t="inlineStr">
        <is>
          <t>Each of you will need to drive
a mile south, then a mile east,</t>
        </is>
      </c>
      <c r="D3159">
        <f>HYPERLINK("https://www.youtube.com/watch?v=Ya9S6PyC1Sg&amp;t=62s", "Go to time")</f>
        <v/>
      </c>
    </row>
    <row r="3160">
      <c r="A3160">
        <f>HYPERLINK("https://www.youtube.com/watch?v=Ya9S6PyC1Sg", "Video")</f>
        <v/>
      </c>
      <c r="B3160" t="inlineStr">
        <is>
          <t>1:18</t>
        </is>
      </c>
      <c r="C3160" t="inlineStr">
        <is>
          <t>then driving into it at the precise end of
your three mile drive without it moving.</t>
        </is>
      </c>
      <c r="D3160">
        <f>HYPERLINK("https://www.youtube.com/watch?v=Ya9S6PyC1Sg&amp;t=78s", "Go to time")</f>
        <v/>
      </c>
    </row>
    <row r="3161">
      <c r="A3161">
        <f>HYPERLINK("https://www.youtube.com/watch?v=Ya9S6PyC1Sg", "Video")</f>
        <v/>
      </c>
      <c r="B3161" t="inlineStr">
        <is>
          <t>1:34</t>
        </is>
      </c>
      <c r="C3161" t="inlineStr">
        <is>
          <t>In other words, you need to find two
different locations where you can drive</t>
        </is>
      </c>
      <c r="D3161">
        <f>HYPERLINK("https://www.youtube.com/watch?v=Ya9S6PyC1Sg&amp;t=94s", "Go to time")</f>
        <v/>
      </c>
    </row>
    <row r="3162">
      <c r="A3162">
        <f>HYPERLINK("https://www.youtube.com/watch?v=Ya9S6PyC1Sg", "Video")</f>
        <v/>
      </c>
      <c r="B3162" t="inlineStr">
        <is>
          <t>2:58</t>
        </is>
      </c>
      <c r="C3162" t="inlineStr">
        <is>
          <t>You could drive south a mile to reach it,
make the one mile rotation east,</t>
        </is>
      </c>
      <c r="D3162">
        <f>HYPERLINK("https://www.youtube.com/watch?v=Ya9S6PyC1Sg&amp;t=178s", "Go to time")</f>
        <v/>
      </c>
    </row>
    <row r="3163">
      <c r="A3163">
        <f>HYPERLINK("https://www.youtube.com/watch?v=Ya9S6PyC1Sg", "Video")</f>
        <v/>
      </c>
      <c r="B3163" t="inlineStr">
        <is>
          <t>3:57</t>
        </is>
      </c>
      <c r="C3163" t="inlineStr">
        <is>
          <t>but the circles get so tight that they
aren't actually practical to drive.</t>
        </is>
      </c>
      <c r="D3163">
        <f>HYPERLINK("https://www.youtube.com/watch?v=Ya9S6PyC1Sg&amp;t=237s", "Go to time")</f>
        <v/>
      </c>
    </row>
    <row r="3164">
      <c r="A3164">
        <f>HYPERLINK("https://www.youtube.com/watch?v=7v-mfJMyBO0", "Video")</f>
        <v/>
      </c>
      <c r="B3164" t="inlineStr">
        <is>
          <t>4:28</t>
        </is>
      </c>
      <c r="C3164" t="inlineStr">
        <is>
          <t>that drives the plot
of “The Handmaid’s Tale.”</t>
        </is>
      </c>
      <c r="D3164">
        <f>HYPERLINK("https://www.youtube.com/watch?v=7v-mfJMyBO0&amp;t=268s", "Go to time")</f>
        <v/>
      </c>
    </row>
    <row r="3165">
      <c r="A3165">
        <f>HYPERLINK("https://www.youtube.com/watch?v=7m8QlSPP7t0", "Video")</f>
        <v/>
      </c>
      <c r="B3165" t="inlineStr">
        <is>
          <t>0:44</t>
        </is>
      </c>
      <c r="C3165" t="inlineStr">
        <is>
          <t>The drivers behind this process are varied
and complicated,</t>
        </is>
      </c>
      <c r="D3165">
        <f>HYPERLINK("https://www.youtube.com/watch?v=7m8QlSPP7t0&amp;t=44s", "Go to time")</f>
        <v/>
      </c>
    </row>
    <row r="3166">
      <c r="A3166">
        <f>HYPERLINK("https://www.youtube.com/watch?v=7m8QlSPP7t0", "Video")</f>
        <v/>
      </c>
      <c r="B3166" t="inlineStr">
        <is>
          <t>2:45</t>
        </is>
      </c>
      <c r="C3166" t="inlineStr">
        <is>
          <t>And size is a powerful evolutionary driver
in animals.</t>
        </is>
      </c>
      <c r="D3166">
        <f>HYPERLINK("https://www.youtube.com/watch?v=7m8QlSPP7t0&amp;t=165s", "Go to time")</f>
        <v/>
      </c>
    </row>
    <row r="3167">
      <c r="A3167">
        <f>HYPERLINK("https://www.youtube.com/watch?v=awhOrqGb-TU", "Video")</f>
        <v/>
      </c>
      <c r="B3167" t="inlineStr">
        <is>
          <t>2:20</t>
        </is>
      </c>
      <c r="C3167" t="inlineStr">
        <is>
          <t>Nothing quite drives you to practice
a piano solo</t>
        </is>
      </c>
      <c r="D3167">
        <f>HYPERLINK("https://www.youtube.com/watch?v=awhOrqGb-TU&amp;t=140s", "Go to time")</f>
        <v/>
      </c>
    </row>
    <row r="3168">
      <c r="A3168">
        <f>HYPERLINK("https://www.youtube.com/watch?v=II5h6uJPvvs", "Video")</f>
        <v/>
      </c>
      <c r="B3168" t="inlineStr">
        <is>
          <t>0:46</t>
        </is>
      </c>
      <c r="C3168" t="inlineStr">
        <is>
          <t>In other words, it's the energy
that drives you to do something.</t>
        </is>
      </c>
      <c r="D3168">
        <f>HYPERLINK("https://www.youtube.com/watch?v=II5h6uJPvvs&amp;t=46s", "Go to time")</f>
        <v/>
      </c>
    </row>
    <row r="3169">
      <c r="A3169">
        <f>HYPERLINK("https://www.youtube.com/watch?v=II5h6uJPvvs", "Video")</f>
        <v/>
      </c>
      <c r="B3169" t="inlineStr">
        <is>
          <t>0:51</t>
        </is>
      </c>
      <c r="C3169" t="inlineStr">
        <is>
          <t>And knowing the source of that drive
is particularly important</t>
        </is>
      </c>
      <c r="D3169">
        <f>HYPERLINK("https://www.youtube.com/watch?v=II5h6uJPvvs&amp;t=51s", "Go to time")</f>
        <v/>
      </c>
    </row>
    <row r="3170">
      <c r="A3170">
        <f>HYPERLINK("https://www.youtube.com/watch?v=II5h6uJPvvs", "Video")</f>
        <v/>
      </c>
      <c r="B3170" t="inlineStr">
        <is>
          <t>1:26</t>
        </is>
      </c>
      <c r="C3170" t="inlineStr">
        <is>
          <t>are driven by intrinsic motivation.</t>
        </is>
      </c>
      <c r="D3170">
        <f>HYPERLINK("https://www.youtube.com/watch?v=II5h6uJPvvs&amp;t=86s", "Go to time")</f>
        <v/>
      </c>
    </row>
    <row r="3171">
      <c r="A3171">
        <f>HYPERLINK("https://www.youtube.com/watch?v=II5h6uJPvvs", "Video")</f>
        <v/>
      </c>
      <c r="B3171" t="inlineStr">
        <is>
          <t>2:17</t>
        </is>
      </c>
      <c r="C3171" t="inlineStr">
        <is>
          <t>or driven by extrinsic motivation—</t>
        </is>
      </c>
      <c r="D3171">
        <f>HYPERLINK("https://www.youtube.com/watch?v=II5h6uJPvvs&amp;t=137s", "Go to time")</f>
        <v/>
      </c>
    </row>
    <row r="3172">
      <c r="A3172">
        <f>HYPERLINK("https://www.youtube.com/watch?v=II5h6uJPvvs", "Video")</f>
        <v/>
      </c>
      <c r="B3172" t="inlineStr">
        <is>
          <t>3:22</t>
        </is>
      </c>
      <c r="C3172" t="inlineStr">
        <is>
          <t>One study of military cadets found
that those who were driven</t>
        </is>
      </c>
      <c r="D3172">
        <f>HYPERLINK("https://www.youtube.com/watch?v=II5h6uJPvvs&amp;t=202s", "Go to time")</f>
        <v/>
      </c>
    </row>
    <row r="3173">
      <c r="A3173">
        <f>HYPERLINK("https://www.youtube.com/watch?v=II5h6uJPvvs", "Video")</f>
        <v/>
      </c>
      <c r="B3173" t="inlineStr">
        <is>
          <t>3:34</t>
        </is>
      </c>
      <c r="C3173" t="inlineStr">
        <is>
          <t>were overall less motivated than cadets
driven by just one of these factors.</t>
        </is>
      </c>
      <c r="D3173">
        <f>HYPERLINK("https://www.youtube.com/watch?v=II5h6uJPvvs&amp;t=214s", "Go to time")</f>
        <v/>
      </c>
    </row>
    <row r="3174">
      <c r="A3174">
        <f>HYPERLINK("https://www.youtube.com/watch?v=II5h6uJPvvs", "Video")</f>
        <v/>
      </c>
      <c r="B3174" t="inlineStr">
        <is>
          <t>3:55</t>
        </is>
      </c>
      <c r="C3174" t="inlineStr">
        <is>
          <t>when you already have
the intrinsic drive to do something.</t>
        </is>
      </c>
      <c r="D3174">
        <f>HYPERLINK("https://www.youtube.com/watch?v=II5h6uJPvvs&amp;t=235s", "Go to time")</f>
        <v/>
      </c>
    </row>
    <row r="3175">
      <c r="A3175">
        <f>HYPERLINK("https://www.youtube.com/watch?v=II5h6uJPvvs", "Video")</f>
        <v/>
      </c>
      <c r="B3175" t="inlineStr">
        <is>
          <t>4:41</t>
        </is>
      </c>
      <c r="C3175" t="inlineStr">
        <is>
          <t>But there are things you can do
to increase your drive,</t>
        </is>
      </c>
      <c r="D3175">
        <f>HYPERLINK("https://www.youtube.com/watch?v=II5h6uJPvvs&amp;t=281s", "Go to time")</f>
        <v/>
      </c>
    </row>
    <row r="3176">
      <c r="A3176">
        <f>HYPERLINK("https://www.youtube.com/watch?v=8aAivrIUH1s", "Video")</f>
        <v/>
      </c>
      <c r="B3176" t="inlineStr">
        <is>
          <t>8:21</t>
        </is>
      </c>
      <c r="C3176" t="inlineStr">
        <is>
          <t>then we actually got their driver's</t>
        </is>
      </c>
      <c r="D3176">
        <f>HYPERLINK("https://www.youtube.com/watch?v=8aAivrIUH1s&amp;t=501s", "Go to time")</f>
        <v/>
      </c>
    </row>
    <row r="3177">
      <c r="A3177">
        <f>HYPERLINK("https://www.youtube.com/watch?v=qW0M5m4p9YY", "Video")</f>
        <v/>
      </c>
      <c r="B3177" t="inlineStr">
        <is>
          <t>0:29</t>
        </is>
      </c>
      <c r="C3177" t="inlineStr">
        <is>
          <t>you could drive a few more miles. Maybe</t>
        </is>
      </c>
      <c r="D3177">
        <f>HYPERLINK("https://www.youtube.com/watch?v=qW0M5m4p9YY&amp;t=29s", "Go to time")</f>
        <v/>
      </c>
    </row>
    <row r="3178">
      <c r="A3178">
        <f>HYPERLINK("https://www.youtube.com/watch?v=qW0M5m4p9YY", "Video")</f>
        <v/>
      </c>
      <c r="B3178" t="inlineStr">
        <is>
          <t>2:04</t>
        </is>
      </c>
      <c r="C3178" t="inlineStr">
        <is>
          <t>as good as the very best human drivers.</t>
        </is>
      </c>
      <c r="D3178">
        <f>HYPERLINK("https://www.youtube.com/watch?v=qW0M5m4p9YY&amp;t=124s", "Go to time")</f>
        <v/>
      </c>
    </row>
    <row r="3179">
      <c r="A3179">
        <f>HYPERLINK("https://www.youtube.com/watch?v=qW0M5m4p9YY", "Video")</f>
        <v/>
      </c>
      <c r="B3179" t="inlineStr">
        <is>
          <t>2:12</t>
        </is>
      </c>
      <c r="C3179" t="inlineStr">
        <is>
          <t>above average drivers, you understand</t>
        </is>
      </c>
      <c r="D3179">
        <f>HYPERLINK("https://www.youtube.com/watch?v=qW0M5m4p9YY&amp;t=132s", "Go to time")</f>
        <v/>
      </c>
    </row>
    <row r="3180">
      <c r="A3180">
        <f>HYPERLINK("https://www.youtube.com/watch?v=qW0M5m4p9YY", "Video")</f>
        <v/>
      </c>
      <c r="B3180" t="inlineStr">
        <is>
          <t>2:20</t>
        </is>
      </c>
      <c r="C3180" t="inlineStr">
        <is>
          <t>drivers can use all of the friction</t>
        </is>
      </c>
      <c r="D3180">
        <f>HYPERLINK("https://www.youtube.com/watch?v=qW0M5m4p9YY&amp;t=140s", "Go to time")</f>
        <v/>
      </c>
    </row>
    <row r="3181">
      <c r="A3181">
        <f>HYPERLINK("https://www.youtube.com/watch?v=qW0M5m4p9YY", "Video")</f>
        <v/>
      </c>
      <c r="B3181" t="inlineStr">
        <is>
          <t>3:23</t>
        </is>
      </c>
      <c r="C3181" t="inlineStr">
        <is>
          <t>which through using its rear wheel drive</t>
        </is>
      </c>
      <c r="D3181">
        <f>HYPERLINK("https://www.youtube.com/watch?v=qW0M5m4p9YY&amp;t=203s", "Go to time")</f>
        <v/>
      </c>
    </row>
    <row r="3182">
      <c r="A3182">
        <f>HYPERLINK("https://www.youtube.com/watch?v=qW0M5m4p9YY", "Video")</f>
        <v/>
      </c>
      <c r="B3182" t="inlineStr">
        <is>
          <t>3:30</t>
        </is>
      </c>
      <c r="C3182" t="inlineStr">
        <is>
          <t>a rally car driver, always able to take</t>
        </is>
      </c>
      <c r="D3182">
        <f>HYPERLINK("https://www.youtube.com/watch?v=qW0M5m4p9YY&amp;t=210s", "Go to time")</f>
        <v/>
      </c>
    </row>
    <row r="3183">
      <c r="A3183">
        <f>HYPERLINK("https://www.youtube.com/watch?v=qW0M5m4p9YY", "Video")</f>
        <v/>
      </c>
      <c r="B3183" t="inlineStr">
        <is>
          <t>4:30</t>
        </is>
      </c>
      <c r="C3183" t="inlineStr">
        <is>
          <t>drivers. As we've looked at the question</t>
        </is>
      </c>
      <c r="D3183">
        <f>HYPERLINK("https://www.youtube.com/watch?v=qW0M5m4p9YY&amp;t=270s", "Go to time")</f>
        <v/>
      </c>
    </row>
    <row r="3184">
      <c r="A3184">
        <f>HYPERLINK("https://www.youtube.com/watch?v=qW0M5m4p9YY", "Video")</f>
        <v/>
      </c>
      <c r="B3184" t="inlineStr">
        <is>
          <t>4:58</t>
        </is>
      </c>
      <c r="C3184" t="inlineStr">
        <is>
          <t>driver and the resemblance is absolutely</t>
        </is>
      </c>
      <c r="D3184">
        <f>HYPERLINK("https://www.youtube.com/watch?v=qW0M5m4p9YY&amp;t=298s", "Go to time")</f>
        <v/>
      </c>
    </row>
    <row r="3185">
      <c r="A3185">
        <f>HYPERLINK("https://www.youtube.com/watch?v=qW0M5m4p9YY", "Video")</f>
        <v/>
      </c>
      <c r="B3185" t="inlineStr">
        <is>
          <t>5:06</t>
        </is>
      </c>
      <c r="C3185" t="inlineStr">
        <is>
          <t>but the human race car driver is able to</t>
        </is>
      </c>
      <c r="D3185">
        <f>HYPERLINK("https://www.youtube.com/watch?v=qW0M5m4p9YY&amp;t=306s", "Go to time")</f>
        <v/>
      </c>
    </row>
    <row r="3186">
      <c r="A3186">
        <f>HYPERLINK("https://www.youtube.com/watch?v=qW0M5m4p9YY", "Video")</f>
        <v/>
      </c>
      <c r="B3186" t="inlineStr">
        <is>
          <t>5:08</t>
        </is>
      </c>
      <c r="C3186" t="inlineStr">
        <is>
          <t>go out and drive an amazingly fast line</t>
        </is>
      </c>
      <c r="D3186">
        <f>HYPERLINK("https://www.youtube.com/watch?v=qW0M5m4p9YY&amp;t=308s", "Go to time")</f>
        <v/>
      </c>
    </row>
    <row r="3187">
      <c r="A3187">
        <f>HYPERLINK("https://www.youtube.com/watch?v=qW0M5m4p9YY", "Video")</f>
        <v/>
      </c>
      <c r="B3187" t="inlineStr">
        <is>
          <t>5:58</t>
        </is>
      </c>
      <c r="C3187" t="inlineStr">
        <is>
          <t>car but also the race car driver to try</t>
        </is>
      </c>
      <c r="D3187">
        <f>HYPERLINK("https://www.youtube.com/watch?v=qW0M5m4p9YY&amp;t=358s", "Go to time")</f>
        <v/>
      </c>
    </row>
    <row r="3188">
      <c r="A3188">
        <f>HYPERLINK("https://www.youtube.com/watch?v=qW0M5m4p9YY", "Video")</f>
        <v/>
      </c>
      <c r="B3188" t="inlineStr">
        <is>
          <t>6:13</t>
        </is>
      </c>
      <c r="C3188" t="inlineStr">
        <is>
          <t>driver who's also a class champion at</t>
        </is>
      </c>
      <c r="D3188">
        <f>HYPERLINK("https://www.youtube.com/watch?v=qW0M5m4p9YY&amp;t=373s", "Go to time")</f>
        <v/>
      </c>
    </row>
    <row r="3189">
      <c r="A3189">
        <f>HYPERLINK("https://www.youtube.com/watch?v=qW0M5m4p9YY", "Video")</f>
        <v/>
      </c>
      <c r="B3189" t="inlineStr">
        <is>
          <t>6:15</t>
        </is>
      </c>
      <c r="C3189" t="inlineStr">
        <is>
          <t>LMAL. Fantastic driver and very willing</t>
        </is>
      </c>
      <c r="D3189">
        <f>HYPERLINK("https://www.youtube.com/watch?v=qW0M5m4p9YY&amp;t=375s", "Go to time")</f>
        <v/>
      </c>
    </row>
    <row r="3190">
      <c r="A3190">
        <f>HYPERLINK("https://www.youtube.com/watch?v=qW0M5m4p9YY", "Video")</f>
        <v/>
      </c>
      <c r="B3190" t="inlineStr">
        <is>
          <t>6:54</t>
        </is>
      </c>
      <c r="C3190" t="inlineStr">
        <is>
          <t>driver is is thinking quite a bit. Now,</t>
        </is>
      </c>
      <c r="D3190">
        <f>HYPERLINK("https://www.youtube.com/watch?v=qW0M5m4p9YY&amp;t=414s", "Go to time")</f>
        <v/>
      </c>
    </row>
    <row r="3191">
      <c r="A3191">
        <f>HYPERLINK("https://www.youtube.com/watch?v=qW0M5m4p9YY", "Video")</f>
        <v/>
      </c>
      <c r="B3191" t="inlineStr">
        <is>
          <t>7:05</t>
        </is>
      </c>
      <c r="C3191" t="inlineStr">
        <is>
          <t>the driver is actually challenged</t>
        </is>
      </c>
      <c r="D3191">
        <f>HYPERLINK("https://www.youtube.com/watch?v=qW0M5m4p9YY&amp;t=425s", "Go to time")</f>
        <v/>
      </c>
    </row>
    <row r="3192">
      <c r="A3192">
        <f>HYPERLINK("https://www.youtube.com/watch?v=qW0M5m4p9YY", "Video")</f>
        <v/>
      </c>
      <c r="B3192" t="inlineStr">
        <is>
          <t>8:57</t>
        </is>
      </c>
      <c r="C3192" t="inlineStr">
        <is>
          <t>the race car drivers are performing are</t>
        </is>
      </c>
      <c r="D3192">
        <f>HYPERLINK("https://www.youtube.com/watch?v=qW0M5m4p9YY&amp;t=537s", "Go to time")</f>
        <v/>
      </c>
    </row>
    <row r="3193">
      <c r="A3193">
        <f>HYPERLINK("https://www.youtube.com/watch?v=qW0M5m4p9YY", "Video")</f>
        <v/>
      </c>
      <c r="B3193" t="inlineStr">
        <is>
          <t>9:35</t>
        </is>
      </c>
      <c r="C3193" t="inlineStr">
        <is>
          <t>very best race car drivers, introduce it</t>
        </is>
      </c>
      <c r="D3193">
        <f>HYPERLINK("https://www.youtube.com/watch?v=qW0M5m4p9YY&amp;t=575s", "Go to time")</f>
        <v/>
      </c>
    </row>
    <row r="3194">
      <c r="A3194">
        <f>HYPERLINK("https://www.youtube.com/watch?v=qW0M5m4p9YY", "Video")</f>
        <v/>
      </c>
      <c r="B3194" t="inlineStr">
        <is>
          <t>9:46</t>
        </is>
      </c>
      <c r="C3194" t="inlineStr">
        <is>
          <t>that drive as well as the best</t>
        </is>
      </c>
      <c r="D3194">
        <f>HYPERLINK("https://www.youtube.com/watch?v=qW0M5m4p9YY&amp;t=586s", "Go to time")</f>
        <v/>
      </c>
    </row>
    <row r="3195">
      <c r="A3195">
        <f>HYPERLINK("https://www.youtube.com/watch?v=DcIYMCC0M1w", "Video")</f>
        <v/>
      </c>
      <c r="B3195" t="inlineStr">
        <is>
          <t>1:33</t>
        </is>
      </c>
      <c r="C3195" t="inlineStr">
        <is>
          <t>or “How are we getting to Pittsburgh?
Should we drive or take the Loisfoeribari?”</t>
        </is>
      </c>
      <c r="D3195">
        <f>HYPERLINK("https://www.youtube.com/watch?v=DcIYMCC0M1w&amp;t=93s", "Go to time")</f>
        <v/>
      </c>
    </row>
    <row r="3196">
      <c r="A3196">
        <f>HYPERLINK("https://www.youtube.com/watch?v=XZ-qspBsbqA", "Video")</f>
        <v/>
      </c>
      <c r="B3196" t="inlineStr">
        <is>
          <t>5:10</t>
        </is>
      </c>
      <c r="C3196" t="inlineStr">
        <is>
          <t>since the mid-20th century 
has been driven by human activity,</t>
        </is>
      </c>
      <c r="D3196">
        <f>HYPERLINK("https://www.youtube.com/watch?v=XZ-qspBsbqA&amp;t=310s", "Go to time")</f>
        <v/>
      </c>
    </row>
    <row r="3197">
      <c r="A3197">
        <f>HYPERLINK("https://www.youtube.com/watch?v=YEJ2qryXcIQ", "Video")</f>
        <v/>
      </c>
      <c r="B3197" t="inlineStr">
        <is>
          <t>0:45</t>
        </is>
      </c>
      <c r="C3197" t="inlineStr">
        <is>
          <t>meant that the compressed crystal
could drive current through a circuit,</t>
        </is>
      </c>
      <c r="D3197">
        <f>HYPERLINK("https://www.youtube.com/watch?v=YEJ2qryXcIQ&amp;t=45s", "Go to time")</f>
        <v/>
      </c>
    </row>
    <row r="3198">
      <c r="A3198">
        <f>HYPERLINK("https://www.youtube.com/watch?v=YEJ2qryXcIQ", "Video")</f>
        <v/>
      </c>
      <c r="B3198" t="inlineStr">
        <is>
          <t>1:43</t>
        </is>
      </c>
      <c r="C3198" t="inlineStr">
        <is>
          <t>This creates a voltage that can drive
enough current to light up the LEDs,</t>
        </is>
      </c>
      <c r="D3198">
        <f>HYPERLINK("https://www.youtube.com/watch?v=YEJ2qryXcIQ&amp;t=103s", "Go to time")</f>
        <v/>
      </c>
    </row>
    <row r="3199">
      <c r="A3199">
        <f>HYPERLINK("https://www.youtube.com/watch?v=YEJ2qryXcIQ", "Video")</f>
        <v/>
      </c>
      <c r="B3199" t="inlineStr">
        <is>
          <t>3:09</t>
        </is>
      </c>
      <c r="C3199" t="inlineStr">
        <is>
          <t>This results in a voltage that can
drive electricity through a circuit.</t>
        </is>
      </c>
      <c r="D3199">
        <f>HYPERLINK("https://www.youtube.com/watch?v=YEJ2qryXcIQ&amp;t=189s", "Go to time")</f>
        <v/>
      </c>
    </row>
    <row r="3200">
      <c r="A3200">
        <f>HYPERLINK("https://www.youtube.com/watch?v=YmVpwXH4jhA", "Video")</f>
        <v/>
      </c>
      <c r="B3200" t="inlineStr">
        <is>
          <t>1:46</t>
        </is>
      </c>
      <c r="C3200" t="inlineStr">
        <is>
          <t>This drive to hang with pals may be due 
to changes in the brain’s reward center,</t>
        </is>
      </c>
      <c r="D3200">
        <f>HYPERLINK("https://www.youtube.com/watch?v=YmVpwXH4jhA&amp;t=106s", "Go to time")</f>
        <v/>
      </c>
    </row>
    <row r="3201">
      <c r="A3201">
        <f>HYPERLINK("https://www.youtube.com/watch?v=LaLvVc1sS20", "Video")</f>
        <v/>
      </c>
      <c r="B3201" t="inlineStr">
        <is>
          <t>4:17</t>
        </is>
      </c>
      <c r="C3201" t="inlineStr">
        <is>
          <t>helping drive tea's rapid growth
as an everyday commodity.</t>
        </is>
      </c>
      <c r="D3201">
        <f>HYPERLINK("https://www.youtube.com/watch?v=LaLvVc1sS20&amp;t=257s", "Go to time")</f>
        <v/>
      </c>
    </row>
    <row r="3202">
      <c r="A3202">
        <f>HYPERLINK("https://www.youtube.com/watch?v=_r4c2NT4naQ", "Video")</f>
        <v/>
      </c>
      <c r="B3202" t="inlineStr">
        <is>
          <t>1:12</t>
        </is>
      </c>
      <c r="C3202" t="inlineStr">
        <is>
          <t>driven by the Sun.</t>
        </is>
      </c>
      <c r="D3202">
        <f>HYPERLINK("https://www.youtube.com/watch?v=_r4c2NT4naQ&amp;t=72s", "Go to time")</f>
        <v/>
      </c>
    </row>
    <row r="3203">
      <c r="A3203">
        <f>HYPERLINK("https://www.youtube.com/watch?v=Cd-artSbpXc", "Video")</f>
        <v/>
      </c>
      <c r="B3203" t="inlineStr">
        <is>
          <t>1:10</t>
        </is>
      </c>
      <c r="C3203" t="inlineStr">
        <is>
          <t>The first is body 
and caudal fin driven motion,</t>
        </is>
      </c>
      <c r="D3203">
        <f>HYPERLINK("https://www.youtube.com/watch?v=Cd-artSbpXc&amp;t=70s", "Go to time")</f>
        <v/>
      </c>
    </row>
    <row r="3204">
      <c r="A3204">
        <f>HYPERLINK("https://www.youtube.com/watch?v=Cd-artSbpXc", "Video")</f>
        <v/>
      </c>
      <c r="B3204" t="inlineStr">
        <is>
          <t>4:17</t>
        </is>
      </c>
      <c r="C3204" t="inlineStr">
        <is>
          <t>so it’s become a huge evolutionary 
driver of form.</t>
        </is>
      </c>
      <c r="D3204">
        <f>HYPERLINK("https://www.youtube.com/watch?v=Cd-artSbpXc&amp;t=257s", "Go to time")</f>
        <v/>
      </c>
    </row>
    <row r="3205">
      <c r="A3205">
        <f>HYPERLINK("https://www.youtube.com/watch?v=-q7Fz7NIMWM", "Video")</f>
        <v/>
      </c>
      <c r="B3205" t="inlineStr">
        <is>
          <t>3:10</t>
        </is>
      </c>
      <c r="C3205" t="inlineStr">
        <is>
          <t>that can send your immune system
into overdrive.</t>
        </is>
      </c>
      <c r="D3205">
        <f>HYPERLINK("https://www.youtube.com/watch?v=-q7Fz7NIMWM&amp;t=190s", "Go to time")</f>
        <v/>
      </c>
    </row>
    <row r="3206">
      <c r="A3206">
        <f>HYPERLINK("https://www.youtube.com/watch?v=iEFz9KzOB1g", "Video")</f>
        <v/>
      </c>
      <c r="B3206" t="inlineStr">
        <is>
          <t>2:49</t>
        </is>
      </c>
      <c r="C3206" t="inlineStr">
        <is>
          <t>I certainly prefer this gene drive idea</t>
        </is>
      </c>
      <c r="D3206">
        <f>HYPERLINK("https://www.youtube.com/watch?v=iEFz9KzOB1g&amp;t=169s", "Go to time")</f>
        <v/>
      </c>
    </row>
    <row r="3207">
      <c r="A3207">
        <f>HYPERLINK("https://www.youtube.com/watch?v=iEFz9KzOB1g", "Video")</f>
        <v/>
      </c>
      <c r="B3207" t="inlineStr">
        <is>
          <t>2:58</t>
        </is>
      </c>
      <c r="C3207" t="inlineStr">
        <is>
          <t>But— can we really be sure
that the gene drive won’t jump</t>
        </is>
      </c>
      <c r="D3207">
        <f>HYPERLINK("https://www.youtube.com/watch?v=iEFz9KzOB1g&amp;t=178s", "Go to time")</f>
        <v/>
      </c>
    </row>
    <row r="3208">
      <c r="A3208">
        <f>HYPERLINK("https://www.youtube.com/watch?v=iEFz9KzOB1g", "Video")</f>
        <v/>
      </c>
      <c r="B3208" t="inlineStr">
        <is>
          <t>3:18</t>
        </is>
      </c>
      <c r="C3208" t="inlineStr">
        <is>
          <t>the gene drive can only spread
when a mosquito reproduces</t>
        </is>
      </c>
      <c r="D3208">
        <f>HYPERLINK("https://www.youtube.com/watch?v=iEFz9KzOB1g&amp;t=198s", "Go to time")</f>
        <v/>
      </c>
    </row>
    <row r="3209">
      <c r="A3209">
        <f>HYPERLINK("https://www.youtube.com/watch?v=iEFz9KzOB1g", "Video")</f>
        <v/>
      </c>
      <c r="B3209" t="inlineStr">
        <is>
          <t>3:39</t>
        </is>
      </c>
      <c r="C3209" t="inlineStr">
        <is>
          <t>Wherever you start,
don’t expect the gene drive to stay there.</t>
        </is>
      </c>
      <c r="D3209">
        <f>HYPERLINK("https://www.youtube.com/watch?v=iEFz9KzOB1g&amp;t=219s", "Go to time")</f>
        <v/>
      </c>
    </row>
    <row r="3210">
      <c r="A3210">
        <f>HYPERLINK("https://www.youtube.com/watch?v=iEFz9KzOB1g", "Video")</f>
        <v/>
      </c>
      <c r="B3210" t="inlineStr">
        <is>
          <t>4:20</t>
        </is>
      </c>
      <c r="C3210" t="inlineStr">
        <is>
          <t>we’re ready to start the gene drive</t>
        </is>
      </c>
      <c r="D3210">
        <f>HYPERLINK("https://www.youtube.com/watch?v=iEFz9KzOB1g&amp;t=260s", "Go to time")</f>
        <v/>
      </c>
    </row>
    <row r="3211">
      <c r="A3211">
        <f>HYPERLINK("https://www.youtube.com/watch?v=iEFz9KzOB1g", "Video")</f>
        <v/>
      </c>
      <c r="B3211" t="inlineStr">
        <is>
          <t>5:07</t>
        </is>
      </c>
      <c r="C3211" t="inlineStr">
        <is>
          <t>And the committee is considering
a gene drive to eliminate them.</t>
        </is>
      </c>
      <c r="D3211">
        <f>HYPERLINK("https://www.youtube.com/watch?v=iEFz9KzOB1g&amp;t=307s", "Go to time")</f>
        <v/>
      </c>
    </row>
    <row r="3212">
      <c r="A3212">
        <f>HYPERLINK("https://www.youtube.com/watch?v=iEFz9KzOB1g", "Video")</f>
        <v/>
      </c>
      <c r="B3212" t="inlineStr">
        <is>
          <t>5:40</t>
        </is>
      </c>
      <c r="C3212" t="inlineStr">
        <is>
          <t>The screwworm gene drive
is another success.</t>
        </is>
      </c>
      <c r="D3212">
        <f>HYPERLINK("https://www.youtube.com/watch?v=iEFz9KzOB1g&amp;t=340s", "Go to time")</f>
        <v/>
      </c>
    </row>
    <row r="3213">
      <c r="A3213">
        <f>HYPERLINK("https://www.youtube.com/watch?v=iEFz9KzOB1g", "Video")</f>
        <v/>
      </c>
      <c r="B3213" t="inlineStr">
        <is>
          <t>6:06</t>
        </is>
      </c>
      <c r="C3213" t="inlineStr">
        <is>
          <t>but we’re here about a gene drive to
eradicate invasive chameleons from Maui.</t>
        </is>
      </c>
      <c r="D3213">
        <f>HYPERLINK("https://www.youtube.com/watch?v=iEFz9KzOB1g&amp;t=366s", "Go to time")</f>
        <v/>
      </c>
    </row>
    <row r="3214">
      <c r="A3214">
        <f>HYPERLINK("https://www.youtube.com/watch?v=iEFz9KzOB1g", "Video")</f>
        <v/>
      </c>
      <c r="B3214" t="inlineStr">
        <is>
          <t>7:20</t>
        </is>
      </c>
      <c r="C3214" t="inlineStr">
        <is>
          <t>Well, it wouldn’t make any sense to try
to use a gene drive to get rid of humans.</t>
        </is>
      </c>
      <c r="D3214">
        <f>HYPERLINK("https://www.youtube.com/watch?v=iEFz9KzOB1g&amp;t=440s", "Go to time")</f>
        <v/>
      </c>
    </row>
    <row r="3215">
      <c r="A3215">
        <f>HYPERLINK("https://www.youtube.com/watch?v=iEFz9KzOB1g", "Video")</f>
        <v/>
      </c>
      <c r="B3215" t="inlineStr">
        <is>
          <t>7:31</t>
        </is>
      </c>
      <c r="C3215" t="inlineStr">
        <is>
          <t>The Maui gene drive is such a success
that the committee votes</t>
        </is>
      </c>
      <c r="D3215">
        <f>HYPERLINK("https://www.youtube.com/watch?v=iEFz9KzOB1g&amp;t=451s", "Go to time")</f>
        <v/>
      </c>
    </row>
    <row r="3216">
      <c r="A3216">
        <f>HYPERLINK("https://www.youtube.com/watch?v=iEFz9KzOB1g", "Video")</f>
        <v/>
      </c>
      <c r="B3216" t="inlineStr">
        <is>
          <t>7:36</t>
        </is>
      </c>
      <c r="C3216" t="inlineStr">
        <is>
          <t>It starts out well, but the gene drive
spread unintentionally</t>
        </is>
      </c>
      <c r="D3216">
        <f>HYPERLINK("https://www.youtube.com/watch?v=iEFz9KzOB1g&amp;t=456s", "Go to time")</f>
        <v/>
      </c>
    </row>
    <row r="3217">
      <c r="A3217">
        <f>HYPERLINK("https://www.youtube.com/watch?v=iEFz9KzOB1g", "Video")</f>
        <v/>
      </c>
      <c r="B3217" t="inlineStr">
        <is>
          <t>7:47</t>
        </is>
      </c>
      <c r="C3217" t="inlineStr">
        <is>
          <t>The committee decides not
to consider any more gene drives</t>
        </is>
      </c>
      <c r="D3217">
        <f>HYPERLINK("https://www.youtube.com/watch?v=iEFz9KzOB1g&amp;t=467s", "Go to time")</f>
        <v/>
      </c>
    </row>
    <row r="3218">
      <c r="A3218">
        <f>HYPERLINK("https://www.youtube.com/watch?v=poE_nNW9-yk", "Video")</f>
        <v/>
      </c>
      <c r="B3218" t="inlineStr">
        <is>
          <t>2:31</t>
        </is>
      </c>
      <c r="C3218" t="inlineStr">
        <is>
          <t>and truck drivers became known as pilots of the ground.</t>
        </is>
      </c>
      <c r="D3218">
        <f>HYPERLINK("https://www.youtube.com/watch?v=poE_nNW9-yk&amp;t=151s", "Go to time")</f>
        <v/>
      </c>
    </row>
    <row r="3219">
      <c r="A3219">
        <f>HYPERLINK("https://www.youtube.com/watch?v=poE_nNW9-yk", "Video")</f>
        <v/>
      </c>
      <c r="B3219" t="inlineStr">
        <is>
          <t>2:42</t>
        </is>
      </c>
      <c r="C3219" t="inlineStr">
        <is>
          <t>to warn drivers of enemy aircraft.</t>
        </is>
      </c>
      <c r="D3219">
        <f>HYPERLINK("https://www.youtube.com/watch?v=poE_nNW9-yk&amp;t=162s", "Go to time")</f>
        <v/>
      </c>
    </row>
    <row r="3220">
      <c r="A3220">
        <f>HYPERLINK("https://www.youtube.com/watch?v=poE_nNW9-yk", "Video")</f>
        <v/>
      </c>
      <c r="B3220" t="inlineStr">
        <is>
          <t>2:48</t>
        </is>
      </c>
      <c r="C3220" t="inlineStr">
        <is>
          <t>and to help drivers repair damage caused by air attacks.</t>
        </is>
      </c>
      <c r="D3220">
        <f>HYPERLINK("https://www.youtube.com/watch?v=poE_nNW9-yk&amp;t=168s", "Go to time")</f>
        <v/>
      </c>
    </row>
    <row r="3221">
      <c r="A3221">
        <f>HYPERLINK("https://www.youtube.com/watch?v=fNUQ8RnuUFk", "Video")</f>
        <v/>
      </c>
      <c r="B3221" t="inlineStr">
        <is>
          <t>4:31</t>
        </is>
      </c>
      <c r="C3221" t="inlineStr">
        <is>
          <t>That said, minimal groups don't
always drive people apart.</t>
        </is>
      </c>
      <c r="D3221">
        <f>HYPERLINK("https://www.youtube.com/watch?v=fNUQ8RnuUFk&amp;t=271s", "Go to time")</f>
        <v/>
      </c>
    </row>
    <row r="3222">
      <c r="A3222">
        <f>HYPERLINK("https://www.youtube.com/watch?v=0a9Wuz7MvUE", "Video")</f>
        <v/>
      </c>
      <c r="B3222" t="inlineStr">
        <is>
          <t>3:12</t>
        </is>
      </c>
      <c r="C3222" t="inlineStr">
        <is>
          <t>was finally revealed,
then driven out or avenged with blood.</t>
        </is>
      </c>
      <c r="D3222">
        <f>HYPERLINK("https://www.youtube.com/watch?v=0a9Wuz7MvUE&amp;t=192s", "Go to time")</f>
        <v/>
      </c>
    </row>
    <row r="3223">
      <c r="A3223">
        <f>HYPERLINK("https://www.youtube.com/watch?v=jVzbs81bDy0", "Video")</f>
        <v/>
      </c>
      <c r="B3223" t="inlineStr">
        <is>
          <t>0:51</t>
        </is>
      </c>
      <c r="C3223" t="inlineStr">
        <is>
          <t>Pilots, captains, and drivers 
have to determine their locations</t>
        </is>
      </c>
      <c r="D3223">
        <f>HYPERLINK("https://www.youtube.com/watch?v=jVzbs81bDy0&amp;t=51s", "Go to time")</f>
        <v/>
      </c>
    </row>
    <row r="3224">
      <c r="A3224">
        <f>HYPERLINK("https://www.youtube.com/watch?v=dhiWSsKUWEg", "Video")</f>
        <v/>
      </c>
      <c r="B3224" t="inlineStr">
        <is>
          <t>1:55</t>
        </is>
      </c>
      <c r="C3224" t="inlineStr">
        <is>
          <t>to drive their country’s solar use.</t>
        </is>
      </c>
      <c r="D3224">
        <f>HYPERLINK("https://www.youtube.com/watch?v=dhiWSsKUWEg&amp;t=115s", "Go to time")</f>
        <v/>
      </c>
    </row>
    <row r="3225">
      <c r="A3225">
        <f>HYPERLINK("https://www.youtube.com/watch?v=IfPYcfEM1Ck", "Video")</f>
        <v/>
      </c>
      <c r="B3225" t="inlineStr">
        <is>
          <t>2:46</t>
        </is>
      </c>
      <c r="C3225" t="inlineStr">
        <is>
          <t>for drivers, cyclists, and pedestrians.</t>
        </is>
      </c>
      <c r="D3225">
        <f>HYPERLINK("https://www.youtube.com/watch?v=IfPYcfEM1Ck&amp;t=166s", "Go to time")</f>
        <v/>
      </c>
    </row>
    <row r="3226">
      <c r="A3226">
        <f>HYPERLINK("https://www.youtube.com/watch?v=NB6rMkiNKtM", "Video")</f>
        <v/>
      </c>
      <c r="B3226" t="inlineStr">
        <is>
          <t>7:06</t>
        </is>
      </c>
      <c r="C3226" t="inlineStr">
        <is>
          <t>the market drives</t>
        </is>
      </c>
      <c r="D3226">
        <f>HYPERLINK("https://www.youtube.com/watch?v=NB6rMkiNKtM&amp;t=426s", "Go to time")</f>
        <v/>
      </c>
    </row>
    <row r="3227">
      <c r="A3227">
        <f>HYPERLINK("https://www.youtube.com/watch?v=NB6rMkiNKtM", "Video")</f>
        <v/>
      </c>
      <c r="B3227" t="inlineStr">
        <is>
          <t>15:21</t>
        </is>
      </c>
      <c r="C3227" t="inlineStr">
        <is>
          <t>nowadays no kid will let you drive if</t>
        </is>
      </c>
      <c r="D3227">
        <f>HYPERLINK("https://www.youtube.com/watch?v=NB6rMkiNKtM&amp;t=921s", "Go to time")</f>
        <v/>
      </c>
    </row>
    <row r="3228">
      <c r="A3228">
        <f>HYPERLINK("https://www.youtube.com/watch?v=Dv7YhVKFqbQ", "Video")</f>
        <v/>
      </c>
      <c r="B3228" t="inlineStr">
        <is>
          <t>1:52</t>
        </is>
      </c>
      <c r="C3228" t="inlineStr">
        <is>
          <t>and wagon drivers</t>
        </is>
      </c>
      <c r="D3228">
        <f>HYPERLINK("https://www.youtube.com/watch?v=Dv7YhVKFqbQ&amp;t=112s", "Go to time")</f>
        <v/>
      </c>
    </row>
    <row r="3229">
      <c r="A3229">
        <f>HYPERLINK("https://www.youtube.com/watch?v=xvjK-4NXRsM", "Video")</f>
        <v/>
      </c>
      <c r="B3229" t="inlineStr">
        <is>
          <t>5:04</t>
        </is>
      </c>
      <c r="C3229" t="inlineStr">
        <is>
          <t>and drive the breakdown of connections
within the brain.</t>
        </is>
      </c>
      <c r="D3229">
        <f>HYPERLINK("https://www.youtube.com/watch?v=xvjK-4NXRsM&amp;t=304s", "Go to time")</f>
        <v/>
      </c>
    </row>
    <row r="3230">
      <c r="A3230">
        <f>HYPERLINK("https://www.youtube.com/watch?v=ATbyOuk0bvE", "Video")</f>
        <v/>
      </c>
      <c r="B3230" t="inlineStr">
        <is>
          <t>4:50</t>
        </is>
      </c>
      <c r="C3230" t="inlineStr">
        <is>
          <t>shortly and my driver's license expires</t>
        </is>
      </c>
      <c r="D3230">
        <f>HYPERLINK("https://www.youtube.com/watch?v=ATbyOuk0bvE&amp;t=290s", "Go to time")</f>
        <v/>
      </c>
    </row>
    <row r="3231">
      <c r="A3231">
        <f>HYPERLINK("https://www.youtube.com/watch?v=bOYIKJho18I", "Video")</f>
        <v/>
      </c>
      <c r="B3231" t="inlineStr">
        <is>
          <t>12:32</t>
        </is>
      </c>
      <c r="C3231" t="inlineStr">
        <is>
          <t>out of the earth driven by Meth never</t>
        </is>
      </c>
      <c r="D3231">
        <f>HYPERLINK("https://www.youtube.com/watch?v=bOYIKJho18I&amp;t=752s", "Go to time")</f>
        <v/>
      </c>
    </row>
    <row r="3232">
      <c r="A3232">
        <f>HYPERLINK("https://www.youtube.com/watch?v=bOYIKJho18I", "Video")</f>
        <v/>
      </c>
      <c r="B3232" t="inlineStr">
        <is>
          <t>16:27</t>
        </is>
      </c>
      <c r="C3232" t="inlineStr">
        <is>
          <t>adult drive my robot you don't have</t>
        </is>
      </c>
      <c r="D3232">
        <f>HYPERLINK("https://www.youtube.com/watch?v=bOYIKJho18I&amp;t=987s", "Go to time")</f>
        <v/>
      </c>
    </row>
    <row r="3233">
      <c r="A3233">
        <f>HYPERLINK("https://www.youtube.com/watch?v=B6n_xSP1fxA", "Video")</f>
        <v/>
      </c>
      <c r="B3233" t="inlineStr">
        <is>
          <t>15:52</t>
        </is>
      </c>
      <c r="C3233" t="inlineStr">
        <is>
          <t>so we have a very focused purpose-driven</t>
        </is>
      </c>
      <c r="D3233">
        <f>HYPERLINK("https://www.youtube.com/watch?v=B6n_xSP1fxA&amp;t=952s", "Go to time")</f>
        <v/>
      </c>
    </row>
    <row r="3234">
      <c r="A3234">
        <f>HYPERLINK("https://www.youtube.com/watch?v=BiSYoeqb_VY", "Video")</f>
        <v/>
      </c>
      <c r="B3234" t="inlineStr">
        <is>
          <t>4:23</t>
        </is>
      </c>
      <c r="C3234" t="inlineStr">
        <is>
          <t>driven by large corporations
and the trend of fast fashion</t>
        </is>
      </c>
      <c r="D3234">
        <f>HYPERLINK("https://www.youtube.com/watch?v=BiSYoeqb_VY&amp;t=263s", "Go to time")</f>
        <v/>
      </c>
    </row>
    <row r="3235">
      <c r="A3235">
        <f>HYPERLINK("https://www.youtube.com/watch?v=BiSYoeqb_VY", "Video")</f>
        <v/>
      </c>
      <c r="B3235" t="inlineStr">
        <is>
          <t>4:31</t>
        </is>
      </c>
      <c r="C3235" t="inlineStr">
        <is>
          <t>and driven questionable 
human labor practices.</t>
        </is>
      </c>
      <c r="D3235">
        <f>HYPERLINK("https://www.youtube.com/watch?v=BiSYoeqb_VY&amp;t=271s", "Go to time")</f>
        <v/>
      </c>
    </row>
    <row r="3236">
      <c r="A3236">
        <f>HYPERLINK("https://www.youtube.com/watch?v=lsdgdgJb3IM", "Video")</f>
        <v/>
      </c>
      <c r="B3236" t="inlineStr">
        <is>
          <t>1:10</t>
        </is>
      </c>
      <c r="C3236" t="inlineStr">
        <is>
          <t>Technologies Drive most economic growth</t>
        </is>
      </c>
      <c r="D3236">
        <f>HYPERLINK("https://www.youtube.com/watch?v=lsdgdgJb3IM&amp;t=70s", "Go to time")</f>
        <v/>
      </c>
    </row>
    <row r="3237">
      <c r="A3237">
        <f>HYPERLINK("https://www.youtube.com/watch?v=lsdgdgJb3IM", "Video")</f>
        <v/>
      </c>
      <c r="B3237" t="inlineStr">
        <is>
          <t>4:37</t>
        </is>
      </c>
      <c r="C3237" t="inlineStr">
        <is>
          <t>underlying drivers of growth I'm</t>
        </is>
      </c>
      <c r="D3237">
        <f>HYPERLINK("https://www.youtube.com/watch?v=lsdgdgJb3IM&amp;t=277s", "Go to time")</f>
        <v/>
      </c>
    </row>
    <row r="3238">
      <c r="A3238">
        <f>HYPERLINK("https://www.youtube.com/watch?v=lsdgdgJb3IM", "Video")</f>
        <v/>
      </c>
      <c r="B3238" t="inlineStr">
        <is>
          <t>5:54</t>
        </is>
      </c>
      <c r="C3238" t="inlineStr">
        <is>
          <t>rode down Route 101 in yes a driverless</t>
        </is>
      </c>
      <c r="D3238">
        <f>HYPERLINK("https://www.youtube.com/watch?v=lsdgdgJb3IM&amp;t=354s", "Go to time")</f>
        <v/>
      </c>
    </row>
    <row r="3239">
      <c r="A3239">
        <f>HYPERLINK("https://www.youtube.com/watch?v=JAeIeYLlvTU", "Video")</f>
        <v/>
      </c>
      <c r="B3239" t="inlineStr">
        <is>
          <t>1:25</t>
        </is>
      </c>
      <c r="C3239" t="inlineStr">
        <is>
          <t>plane that could drive and the result is</t>
        </is>
      </c>
      <c r="D3239">
        <f>HYPERLINK("https://www.youtube.com/watch?v=JAeIeYLlvTU&amp;t=85s", "Go to time")</f>
        <v/>
      </c>
    </row>
    <row r="3240">
      <c r="A3240">
        <f>HYPERLINK("https://www.youtube.com/watch?v=JAeIeYLlvTU", "Video")</f>
        <v/>
      </c>
      <c r="B3240" t="inlineStr">
        <is>
          <t>1:37</t>
        </is>
      </c>
      <c r="C3240" t="inlineStr">
        <is>
          <t>ground you fold up the wings drive it</t>
        </is>
      </c>
      <c r="D3240">
        <f>HYPERLINK("https://www.youtube.com/watch?v=JAeIeYLlvTU&amp;t=97s", "Go to time")</f>
        <v/>
      </c>
    </row>
    <row r="3241">
      <c r="A3241">
        <f>HYPERLINK("https://www.youtube.com/watch?v=JAeIeYLlvTU", "Video")</f>
        <v/>
      </c>
      <c r="B3241" t="inlineStr">
        <is>
          <t>3:44</t>
        </is>
      </c>
      <c r="C3241" t="inlineStr">
        <is>
          <t>pedestrians other drivers and a rather</t>
        </is>
      </c>
      <c r="D3241">
        <f>HYPERLINK("https://www.youtube.com/watch?v=JAeIeYLlvTU&amp;t=224s", "Go to time")</f>
        <v/>
      </c>
    </row>
    <row r="3242">
      <c r="A3242">
        <f>HYPERLINK("https://www.youtube.com/watch?v=JAeIeYLlvTU", "Video")</f>
        <v/>
      </c>
      <c r="B3242" t="inlineStr">
        <is>
          <t>8:32</t>
        </is>
      </c>
      <c r="C3242" t="inlineStr">
        <is>
          <t>in just land fold up the wings drive</t>
        </is>
      </c>
      <c r="D3242">
        <f>HYPERLINK("https://www.youtube.com/watch?v=JAeIeYLlvTU&amp;t=512s", "Go to time")</f>
        <v/>
      </c>
    </row>
    <row r="3243">
      <c r="A3243">
        <f>HYPERLINK("https://www.youtube.com/watch?v=VP0fd2be71s", "Video")</f>
        <v/>
      </c>
      <c r="B3243" t="inlineStr">
        <is>
          <t>2:31</t>
        </is>
      </c>
      <c r="C3243" t="inlineStr">
        <is>
          <t>Today, some historians view the trials
as driven by a fear of outsiders,</t>
        </is>
      </c>
      <c r="D3243">
        <f>HYPERLINK("https://www.youtube.com/watch?v=VP0fd2be71s&amp;t=151s", "Go to time")</f>
        <v/>
      </c>
    </row>
    <row r="3244">
      <c r="A3244">
        <f>HYPERLINK("https://www.youtube.com/watch?v=-SPRPkLoKp8", "Video")</f>
        <v/>
      </c>
      <c r="B3244" t="inlineStr">
        <is>
          <t>1:42</t>
        </is>
      </c>
      <c r="C3244" t="inlineStr">
        <is>
          <t>the endocrine system drives 
large-scale changes across the body.</t>
        </is>
      </c>
      <c r="D3244">
        <f>HYPERLINK("https://www.youtube.com/watch?v=-SPRPkLoKp8&amp;t=102s", "Go to time")</f>
        <v/>
      </c>
    </row>
    <row r="3245">
      <c r="A3245">
        <f>HYPERLINK("https://www.youtube.com/watch?v=-SPRPkLoKp8", "Video")</f>
        <v/>
      </c>
      <c r="B3245" t="inlineStr">
        <is>
          <t>3:27</t>
        </is>
      </c>
      <c r="C3245" t="inlineStr">
        <is>
          <t>They’re frequently viewed as the main 
drivers of our behavior,</t>
        </is>
      </c>
      <c r="D3245">
        <f>HYPERLINK("https://www.youtube.com/watch?v=-SPRPkLoKp8&amp;t=207s", "Go to time")</f>
        <v/>
      </c>
    </row>
    <row r="3246">
      <c r="A3246">
        <f>HYPERLINK("https://www.youtube.com/watch?v=-SPRPkLoKp8", "Video")</f>
        <v/>
      </c>
      <c r="B3246" t="inlineStr">
        <is>
          <t>4:40</t>
        </is>
      </c>
      <c r="C3246" t="inlineStr">
        <is>
          <t>it drives the changes that ultimately
help us become who we are.</t>
        </is>
      </c>
      <c r="D3246">
        <f>HYPERLINK("https://www.youtube.com/watch?v=-SPRPkLoKp8&amp;t=280s", "Go to time")</f>
        <v/>
      </c>
    </row>
    <row r="3247">
      <c r="A3247">
        <f>HYPERLINK("https://www.youtube.com/watch?v=lSXNqsOoURg", "Video")</f>
        <v/>
      </c>
      <c r="B3247" t="inlineStr">
        <is>
          <t>0:10</t>
        </is>
      </c>
      <c r="C3247" t="inlineStr">
        <is>
          <t>but these magnificent animals are more
than giant walking hard drives.</t>
        </is>
      </c>
      <c r="D3247">
        <f>HYPERLINK("https://www.youtube.com/watch?v=lSXNqsOoURg&amp;t=10s", "Go to time")</f>
        <v/>
      </c>
    </row>
    <row r="3248">
      <c r="A3248">
        <f>HYPERLINK("https://www.youtube.com/watch?v=W9wAfqBd_T0", "Video")</f>
        <v/>
      </c>
      <c r="B3248" t="inlineStr">
        <is>
          <t>1:53</t>
        </is>
      </c>
      <c r="C3248" t="inlineStr">
        <is>
          <t>is driven by neural crest cells,</t>
        </is>
      </c>
      <c r="D3248">
        <f>HYPERLINK("https://www.youtube.com/watch?v=W9wAfqBd_T0&amp;t=113s", "Go to time")</f>
        <v/>
      </c>
    </row>
    <row r="3249">
      <c r="A3249">
        <f>HYPERLINK("https://www.youtube.com/watch?v=yg16u_bzjPE", "Video")</f>
        <v/>
      </c>
      <c r="B3249" t="inlineStr">
        <is>
          <t>3:50</t>
        </is>
      </c>
      <c r="C3249" t="inlineStr">
        <is>
          <t>For example, driver-less cars 
may have to handle choices</t>
        </is>
      </c>
      <c r="D3249">
        <f>HYPERLINK("https://www.youtube.com/watch?v=yg16u_bzjPE&amp;t=230s", "Go to time")</f>
        <v/>
      </c>
    </row>
    <row r="3250">
      <c r="A3250">
        <f>HYPERLINK("https://www.youtube.com/watch?v=dv9sgFHS2Do", "Video")</f>
        <v/>
      </c>
      <c r="B3250" t="inlineStr">
        <is>
          <t>0:50</t>
        </is>
      </c>
      <c r="C3250" t="inlineStr">
        <is>
          <t>packed with canaries driven
by a toucan—I swear</t>
        </is>
      </c>
      <c r="D3250">
        <f>HYPERLINK("https://www.youtube.com/watch?v=dv9sgFHS2Do&amp;t=50s", "Go to time")</f>
        <v/>
      </c>
    </row>
    <row r="3251">
      <c r="A3251">
        <f>HYPERLINK("https://www.youtube.com/watch?v=RAPPT7gcl5s", "Video")</f>
        <v/>
      </c>
      <c r="B3251" t="inlineStr">
        <is>
          <t>1:52</t>
        </is>
      </c>
      <c r="C3251" t="inlineStr">
        <is>
          <t>In fact, hosts will often drive adult
brood parasites away from their nests,</t>
        </is>
      </c>
      <c r="D3251">
        <f>HYPERLINK("https://www.youtube.com/watch?v=RAPPT7gcl5s&amp;t=112s", "Go to time")</f>
        <v/>
      </c>
    </row>
    <row r="3252">
      <c r="A3252">
        <f>HYPERLINK("https://www.youtube.com/watch?v=2_CNihv5PCs", "Video")</f>
        <v/>
      </c>
      <c r="B3252" t="inlineStr">
        <is>
          <t>0:44</t>
        </is>
      </c>
      <c r="C3252" t="inlineStr">
        <is>
          <t>Lemma and her idealistic
drive to cure everyone.</t>
        </is>
      </c>
      <c r="D3252">
        <f>HYPERLINK("https://www.youtube.com/watch?v=2_CNihv5PCs&amp;t=44s", "Go to time")</f>
        <v/>
      </c>
    </row>
    <row r="3253">
      <c r="A3253">
        <f>HYPERLINK("https://www.youtube.com/watch?v=4TQETLZZmcM", "Video")</f>
        <v/>
      </c>
      <c r="B3253" t="inlineStr">
        <is>
          <t>3:24</t>
        </is>
      </c>
      <c r="C3253" t="inlineStr">
        <is>
          <t>being the driver of the shooters</t>
        </is>
      </c>
      <c r="D3253">
        <f>HYPERLINK("https://www.youtube.com/watch?v=4TQETLZZmcM&amp;t=204s", "Go to time")</f>
        <v/>
      </c>
    </row>
    <row r="3254">
      <c r="A3254">
        <f>HYPERLINK("https://www.youtube.com/watch?v=4TQETLZZmcM", "Video")</f>
        <v/>
      </c>
      <c r="B3254" t="inlineStr">
        <is>
          <t>12:16</t>
        </is>
      </c>
      <c r="C3254" t="inlineStr">
        <is>
          <t>the teenagers it had a driver and a</t>
        </is>
      </c>
      <c r="D3254">
        <f>HYPERLINK("https://www.youtube.com/watch?v=4TQETLZZmcM&amp;t=736s", "Go to time")</f>
        <v/>
      </c>
    </row>
    <row r="3255">
      <c r="A3255">
        <f>HYPERLINK("https://www.youtube.com/watch?v=kVvewT_tWUA", "Video")</f>
        <v/>
      </c>
      <c r="B3255" t="inlineStr">
        <is>
          <t>0:22</t>
        </is>
      </c>
      <c r="C3255" t="inlineStr">
        <is>
          <t>how well you can drive.</t>
        </is>
      </c>
      <c r="D3255">
        <f>HYPERLINK("https://www.youtube.com/watch?v=kVvewT_tWUA&amp;t=22s", "Go to time")</f>
        <v/>
      </c>
    </row>
    <row r="3256">
      <c r="A3256">
        <f>HYPERLINK("https://www.youtube.com/watch?v=kVvewT_tWUA", "Video")</f>
        <v/>
      </c>
      <c r="B3256" t="inlineStr">
        <is>
          <t>1:26</t>
        </is>
      </c>
      <c r="C3256" t="inlineStr">
        <is>
          <t>One study found that using signs
that encourage drivers to zipper merge</t>
        </is>
      </c>
      <c r="D3256">
        <f>HYPERLINK("https://www.youtube.com/watch?v=kVvewT_tWUA&amp;t=86s", "Go to time")</f>
        <v/>
      </c>
    </row>
    <row r="3257">
      <c r="A3257">
        <f>HYPERLINK("https://www.youtube.com/watch?v=kVvewT_tWUA", "Video")</f>
        <v/>
      </c>
      <c r="B3257" t="inlineStr">
        <is>
          <t>1:39</t>
        </is>
      </c>
      <c r="C3257" t="inlineStr">
        <is>
          <t>While it might seem easy
to multitask while you drive,</t>
        </is>
      </c>
      <c r="D3257">
        <f>HYPERLINK("https://www.youtube.com/watch?v=kVvewT_tWUA&amp;t=99s", "Go to time")</f>
        <v/>
      </c>
    </row>
    <row r="3258">
      <c r="A3258">
        <f>HYPERLINK("https://www.youtube.com/watch?v=kVvewT_tWUA", "Video")</f>
        <v/>
      </c>
      <c r="B3258" t="inlineStr">
        <is>
          <t>1:50</t>
        </is>
      </c>
      <c r="C3258" t="inlineStr">
        <is>
          <t>when the drivers look away from the road.</t>
        </is>
      </c>
      <c r="D3258">
        <f>HYPERLINK("https://www.youtube.com/watch?v=kVvewT_tWUA&amp;t=110s", "Go to time")</f>
        <v/>
      </c>
    </row>
    <row r="3259">
      <c r="A3259">
        <f>HYPERLINK("https://www.youtube.com/watch?v=kVvewT_tWUA", "Video")</f>
        <v/>
      </c>
      <c r="B3259" t="inlineStr">
        <is>
          <t>1:57</t>
        </is>
      </c>
      <c r="C3259" t="inlineStr">
        <is>
          <t>In one study, drivers who were talking
on the phone hands-free</t>
        </is>
      </c>
      <c r="D3259">
        <f>HYPERLINK("https://www.youtube.com/watch?v=kVvewT_tWUA&amp;t=117s", "Go to time")</f>
        <v/>
      </c>
    </row>
    <row r="3260">
      <c r="A3260">
        <f>HYPERLINK("https://www.youtube.com/watch?v=kVvewT_tWUA", "Video")</f>
        <v/>
      </c>
      <c r="B3260" t="inlineStr">
        <is>
          <t>2:03</t>
        </is>
      </c>
      <c r="C3260" t="inlineStr">
        <is>
          <t>as drivers who were intoxicated.</t>
        </is>
      </c>
      <c r="D3260">
        <f>HYPERLINK("https://www.youtube.com/watch?v=kVvewT_tWUA&amp;t=123s", "Go to time")</f>
        <v/>
      </c>
    </row>
    <row r="3261">
      <c r="A3261">
        <f>HYPERLINK("https://www.youtube.com/watch?v=kVvewT_tWUA", "Video")</f>
        <v/>
      </c>
      <c r="B3261" t="inlineStr">
        <is>
          <t>2:24</t>
        </is>
      </c>
      <c r="C3261" t="inlineStr">
        <is>
          <t>up to a third of drivers report that
they’ve acted aggressively on the road,</t>
        </is>
      </c>
      <c r="D3261">
        <f>HYPERLINK("https://www.youtube.com/watch?v=kVvewT_tWUA&amp;t=144s", "Go to time")</f>
        <v/>
      </c>
    </row>
    <row r="3262">
      <c r="A3262">
        <f>HYPERLINK("https://www.youtube.com/watch?v=kVvewT_tWUA", "Video")</f>
        <v/>
      </c>
      <c r="B3262" t="inlineStr">
        <is>
          <t>2:28</t>
        </is>
      </c>
      <c r="C3262" t="inlineStr">
        <is>
          <t>honking or shouting at another driver.</t>
        </is>
      </c>
      <c r="D3262">
        <f>HYPERLINK("https://www.youtube.com/watch?v=kVvewT_tWUA&amp;t=148s", "Go to time")</f>
        <v/>
      </c>
    </row>
    <row r="3263">
      <c r="A3263">
        <f>HYPERLINK("https://www.youtube.com/watch?v=kVvewT_tWUA", "Video")</f>
        <v/>
      </c>
      <c r="B3263" t="inlineStr">
        <is>
          <t>2:31</t>
        </is>
      </c>
      <c r="C3263" t="inlineStr">
        <is>
          <t>Road rage is thought to be sparked
by the perception of other drivers</t>
        </is>
      </c>
      <c r="D3263">
        <f>HYPERLINK("https://www.youtube.com/watch?v=kVvewT_tWUA&amp;t=151s", "Go to time")</f>
        <v/>
      </c>
    </row>
    <row r="3264">
      <c r="A3264">
        <f>HYPERLINK("https://www.youtube.com/watch?v=kVvewT_tWUA", "Video")</f>
        <v/>
      </c>
      <c r="B3264" t="inlineStr">
        <is>
          <t>2:55</t>
        </is>
      </c>
      <c r="C3264" t="inlineStr">
        <is>
          <t>or to even retaliate
against other drivers.</t>
        </is>
      </c>
      <c r="D3264">
        <f>HYPERLINK("https://www.youtube.com/watch?v=kVvewT_tWUA&amp;t=175s", "Go to time")</f>
        <v/>
      </c>
    </row>
    <row r="3265">
      <c r="A3265">
        <f>HYPERLINK("https://www.youtube.com/watch?v=kVvewT_tWUA", "Video")</f>
        <v/>
      </c>
      <c r="B3265" t="inlineStr">
        <is>
          <t>3:24</t>
        </is>
      </c>
      <c r="C3265" t="inlineStr">
        <is>
          <t>This is especially true for new drivers.</t>
        </is>
      </c>
      <c r="D3265">
        <f>HYPERLINK("https://www.youtube.com/watch?v=kVvewT_tWUA&amp;t=204s", "Go to time")</f>
        <v/>
      </c>
    </row>
    <row r="3266">
      <c r="A3266">
        <f>HYPERLINK("https://www.youtube.com/watch?v=kVvewT_tWUA", "Video")</f>
        <v/>
      </c>
      <c r="B3266" t="inlineStr">
        <is>
          <t>3:36</t>
        </is>
      </c>
      <c r="C3266" t="inlineStr">
        <is>
          <t>And like any skill, becoming an expert
driver takes time and practice.</t>
        </is>
      </c>
      <c r="D3266">
        <f>HYPERLINK("https://www.youtube.com/watch?v=kVvewT_tWUA&amp;t=216s", "Go to time")</f>
        <v/>
      </c>
    </row>
    <row r="3267">
      <c r="A3267">
        <f>HYPERLINK("https://www.youtube.com/watch?v=kVvewT_tWUA", "Video")</f>
        <v/>
      </c>
      <c r="B3267" t="inlineStr">
        <is>
          <t>3:50</t>
        </is>
      </c>
      <c r="C3267" t="inlineStr">
        <is>
          <t>A majority of drivers first learn
in their teens and early 20s,</t>
        </is>
      </c>
      <c r="D3267">
        <f>HYPERLINK("https://www.youtube.com/watch?v=kVvewT_tWUA&amp;t=230s", "Go to time")</f>
        <v/>
      </c>
    </row>
    <row r="3268">
      <c r="A3268">
        <f>HYPERLINK("https://www.youtube.com/watch?v=kVvewT_tWUA", "Video")</f>
        <v/>
      </c>
      <c r="B3268" t="inlineStr">
        <is>
          <t>4:00</t>
        </is>
      </c>
      <c r="C3268" t="inlineStr">
        <is>
          <t>New drivers can take full advantage
of this window of opportunity,</t>
        </is>
      </c>
      <c r="D3268">
        <f>HYPERLINK("https://www.youtube.com/watch?v=kVvewT_tWUA&amp;t=240s", "Go to time")</f>
        <v/>
      </c>
    </row>
    <row r="3269">
      <c r="A3269">
        <f>HYPERLINK("https://www.youtube.com/watch?v=cYnkRvYGnEk", "Video")</f>
        <v/>
      </c>
      <c r="B3269" t="inlineStr">
        <is>
          <t>7:40</t>
        </is>
      </c>
      <c r="C3269" t="inlineStr">
        <is>
          <t>British taxis to the taxi driver he</t>
        </is>
      </c>
      <c r="D3269">
        <f>HYPERLINK("https://www.youtube.com/watch?v=cYnkRvYGnEk&amp;t=460s", "Go to time")</f>
        <v/>
      </c>
    </row>
    <row r="3270">
      <c r="A3270">
        <f>HYPERLINK("https://www.youtube.com/watch?v=cYnkRvYGnEk", "Video")</f>
        <v/>
      </c>
      <c r="B3270" t="inlineStr">
        <is>
          <t>7:53</t>
        </is>
      </c>
      <c r="C3270" t="inlineStr">
        <is>
          <t>all time the taxi driver wound down his</t>
        </is>
      </c>
      <c r="D3270">
        <f>HYPERLINK("https://www.youtube.com/watch?v=cYnkRvYGnEk&amp;t=473s", "Go to time")</f>
        <v/>
      </c>
    </row>
    <row r="3271">
      <c r="A3271">
        <f>HYPERLINK("https://www.youtube.com/watch?v=3L31XDIbIFI", "Video")</f>
        <v/>
      </c>
      <c r="B3271" t="inlineStr">
        <is>
          <t>7:59</t>
        </is>
      </c>
      <c r="C3271" t="inlineStr">
        <is>
          <t>the tribe you can drive many ideas from</t>
        </is>
      </c>
      <c r="D3271">
        <f>HYPERLINK("https://www.youtube.com/watch?v=3L31XDIbIFI&amp;t=479s", "Go to time")</f>
        <v/>
      </c>
    </row>
    <row r="3272">
      <c r="A3272">
        <f>HYPERLINK("https://www.youtube.com/watch?v=PgSRAsgrKmg", "Video")</f>
        <v/>
      </c>
      <c r="B3272" t="inlineStr">
        <is>
          <t>0:23</t>
        </is>
      </c>
      <c r="C3272" t="inlineStr">
        <is>
          <t>The heat from these rocks drives 
groundwater towards the surface.</t>
        </is>
      </c>
      <c r="D3272">
        <f>HYPERLINK("https://www.youtube.com/watch?v=PgSRAsgrKmg&amp;t=23s", "Go to time")</f>
        <v/>
      </c>
    </row>
    <row r="3273">
      <c r="A3273">
        <f>HYPERLINK("https://www.youtube.com/watch?v=_GgrKjsLrZg", "Video")</f>
        <v/>
      </c>
      <c r="B3273" t="inlineStr">
        <is>
          <t>5:23</t>
        </is>
      </c>
      <c r="C3273" t="inlineStr">
        <is>
          <t>again Drive the kids to school on the</t>
        </is>
      </c>
      <c r="D3273">
        <f>HYPERLINK("https://www.youtube.com/watch?v=_GgrKjsLrZg&amp;t=323s", "Go to time")</f>
        <v/>
      </c>
    </row>
    <row r="3274">
      <c r="A3274">
        <f>HYPERLINK("https://www.youtube.com/watch?v=_GgrKjsLrZg", "Video")</f>
        <v/>
      </c>
      <c r="B3274" t="inlineStr">
        <is>
          <t>5:38</t>
        </is>
      </c>
      <c r="C3274" t="inlineStr">
        <is>
          <t>drink drive home for dinner with my wife</t>
        </is>
      </c>
      <c r="D3274">
        <f>HYPERLINK("https://www.youtube.com/watch?v=_GgrKjsLrZg&amp;t=338s", "Go to time")</f>
        <v/>
      </c>
    </row>
    <row r="3275">
      <c r="A3275">
        <f>HYPERLINK("https://www.youtube.com/watch?v=aRRE5TEnfsA", "Video")</f>
        <v/>
      </c>
      <c r="B3275" t="inlineStr">
        <is>
          <t>5:04</t>
        </is>
      </c>
      <c r="C3275" t="inlineStr">
        <is>
          <t>quickly driven by an Unholy alliance</t>
        </is>
      </c>
      <c r="D3275">
        <f>HYPERLINK("https://www.youtube.com/watch?v=aRRE5TEnfsA&amp;t=304s", "Go to time")</f>
        <v/>
      </c>
    </row>
    <row r="3276">
      <c r="A3276">
        <f>HYPERLINK("https://www.youtube.com/watch?v=aRRE5TEnfsA", "Video")</f>
        <v/>
      </c>
      <c r="B3276" t="inlineStr">
        <is>
          <t>5:32</t>
        </is>
      </c>
      <c r="C3276" t="inlineStr">
        <is>
          <t>and they were systematically driven by</t>
        </is>
      </c>
      <c r="D3276">
        <f>HYPERLINK("https://www.youtube.com/watch?v=aRRE5TEnfsA&amp;t=332s", "Go to time")</f>
        <v/>
      </c>
    </row>
    <row r="3277">
      <c r="A3277">
        <f>HYPERLINK("https://www.youtube.com/watch?v=Iu4OdhjnN4I", "Video")</f>
        <v/>
      </c>
      <c r="B3277" t="inlineStr">
        <is>
          <t>3:05</t>
        </is>
      </c>
      <c r="C3277" t="inlineStr">
        <is>
          <t>You could then pair this approach 
with a more emotion-driven one.</t>
        </is>
      </c>
      <c r="D3277">
        <f>HYPERLINK("https://www.youtube.com/watch?v=Iu4OdhjnN4I&amp;t=185s", "Go to time")</f>
        <v/>
      </c>
    </row>
    <row r="3278">
      <c r="A3278">
        <f>HYPERLINK("https://www.youtube.com/watch?v=FWsBm3hr3B0", "Video")</f>
        <v/>
      </c>
      <c r="B3278" t="inlineStr">
        <is>
          <t>2:37</t>
        </is>
      </c>
      <c r="C3278" t="inlineStr">
        <is>
          <t>but is driven by different inflammatory 
proteins called cytokines.</t>
        </is>
      </c>
      <c r="D3278">
        <f>HYPERLINK("https://www.youtube.com/watch?v=FWsBm3hr3B0&amp;t=157s", "Go to time")</f>
        <v/>
      </c>
    </row>
    <row r="3279">
      <c r="A3279">
        <f>HYPERLINK("https://www.youtube.com/watch?v=FWsBm3hr3B0", "Video")</f>
        <v/>
      </c>
      <c r="B3279" t="inlineStr">
        <is>
          <t>3:26</t>
        </is>
      </c>
      <c r="C3279" t="inlineStr">
        <is>
          <t>the underlying drivers of 
autoimmune arthritis</t>
        </is>
      </c>
      <c r="D3279">
        <f>HYPERLINK("https://www.youtube.com/watch?v=FWsBm3hr3B0&amp;t=206s", "Go to time")</f>
        <v/>
      </c>
    </row>
    <row r="3280">
      <c r="A3280">
        <f>HYPERLINK("https://www.youtube.com/watch?v=wteUW2sL7bc", "Video")</f>
        <v/>
      </c>
      <c r="B3280" t="inlineStr">
        <is>
          <t>0:20</t>
        </is>
      </c>
      <c r="C3280" t="inlineStr">
        <is>
          <t>and you'd have something equivalent
to a modern hard drive,</t>
        </is>
      </c>
      <c r="D3280">
        <f>HYPERLINK("https://www.youtube.com/watch?v=wteUW2sL7bc&amp;t=20s", "Go to time")</f>
        <v/>
      </c>
    </row>
    <row r="3281">
      <c r="A3281">
        <f>HYPERLINK("https://www.youtube.com/watch?v=wteUW2sL7bc", "Video")</f>
        <v/>
      </c>
      <c r="B3281" t="inlineStr">
        <is>
          <t>0:32</t>
        </is>
      </c>
      <c r="C3281" t="inlineStr">
        <is>
          <t>At the heart of every hard drive
is a stack of high-speed spinning discs</t>
        </is>
      </c>
      <c r="D3281">
        <f>HYPERLINK("https://www.youtube.com/watch?v=wteUW2sL7bc&amp;t=32s", "Go to time")</f>
        <v/>
      </c>
    </row>
    <row r="3282">
      <c r="A3282">
        <f>HYPERLINK("https://www.youtube.com/watch?v=wteUW2sL7bc", "Video")</f>
        <v/>
      </c>
      <c r="B3282" t="inlineStr">
        <is>
          <t>1:24</t>
        </is>
      </c>
      <c r="C3282" t="inlineStr">
        <is>
          <t>the drive uses a magnetic reader
to turn it back into a useful form,</t>
        </is>
      </c>
      <c r="D3282">
        <f>HYPERLINK("https://www.youtube.com/watch?v=wteUW2sL7bc&amp;t=84s", "Go to time")</f>
        <v/>
      </c>
    </row>
    <row r="3283">
      <c r="A3283">
        <f>HYPERLINK("https://www.youtube.com/watch?v=wteUW2sL7bc", "Video")</f>
        <v/>
      </c>
      <c r="B3283" t="inlineStr">
        <is>
          <t>2:03</t>
        </is>
      </c>
      <c r="C3283" t="inlineStr">
        <is>
          <t>The areal density of a modern hard drive
is about 600 gigabits per square inch,</t>
        </is>
      </c>
      <c r="D3283">
        <f>HYPERLINK("https://www.youtube.com/watch?v=wteUW2sL7bc&amp;t=123s", "Go to time")</f>
        <v/>
      </c>
    </row>
    <row r="3284">
      <c r="A3284">
        <f>HYPERLINK("https://www.youtube.com/watch?v=wteUW2sL7bc", "Video")</f>
        <v/>
      </c>
      <c r="B3284" t="inlineStr">
        <is>
          <t>2:08</t>
        </is>
      </c>
      <c r="C3284" t="inlineStr">
        <is>
          <t>300 million times greater than that
of IBM's first hard drive from 1957.</t>
        </is>
      </c>
      <c r="D3284">
        <f>HYPERLINK("https://www.youtube.com/watch?v=wteUW2sL7bc&amp;t=128s", "Go to time")</f>
        <v/>
      </c>
    </row>
    <row r="3285">
      <c r="A3285">
        <f>HYPERLINK("https://www.youtube.com/watch?v=wteUW2sL7bc", "Video")</f>
        <v/>
      </c>
      <c r="B3285" t="inlineStr">
        <is>
          <t>4:20</t>
        </is>
      </c>
      <c r="C3285" t="inlineStr">
        <is>
          <t>And while those drives are currently
in the prototype stage,</t>
        </is>
      </c>
      <c r="D3285">
        <f>HYPERLINK("https://www.youtube.com/watch?v=wteUW2sL7bc&amp;t=260s", "Go to time")</f>
        <v/>
      </c>
    </row>
    <row r="3286">
      <c r="A3286">
        <f>HYPERLINK("https://www.youtube.com/watch?v=PRg5RNU_JLk", "Video")</f>
        <v/>
      </c>
      <c r="B3286" t="inlineStr">
        <is>
          <t>1:50</t>
        </is>
      </c>
      <c r="C3286" t="inlineStr">
        <is>
          <t>As the car drives by, one LIDAR pulse 
scatters off the base of its antlers,</t>
        </is>
      </c>
      <c r="D3286">
        <f>HYPERLINK("https://www.youtube.com/watch?v=PRg5RNU_JLk&amp;t=110s", "Go to time")</f>
        <v/>
      </c>
    </row>
    <row r="3287">
      <c r="A3287">
        <f>HYPERLINK("https://www.youtube.com/watch?v=TB5weRIYhjQ", "Video")</f>
        <v/>
      </c>
      <c r="B3287" t="inlineStr">
        <is>
          <t>3:15</t>
        </is>
      </c>
      <c r="C3287" t="inlineStr">
        <is>
          <t>a submerged stage allowed chariot 
drivers to glide across the water</t>
        </is>
      </c>
      <c r="D3287">
        <f>HYPERLINK("https://www.youtube.com/watch?v=TB5weRIYhjQ&amp;t=195s", "Go to time")</f>
        <v/>
      </c>
    </row>
    <row r="3288">
      <c r="A3288">
        <f>HYPERLINK("https://www.youtube.com/watch?v=3M3L4VIZv-U", "Video")</f>
        <v/>
      </c>
      <c r="B3288" t="inlineStr">
        <is>
          <t>0:11</t>
        </is>
      </c>
      <c r="C3288" t="inlineStr">
        <is>
          <t>and terrors so unspeakable the very 
thought of them might drive you mad.</t>
        </is>
      </c>
      <c r="D3288">
        <f>HYPERLINK("https://www.youtube.com/watch?v=3M3L4VIZv-U&amp;t=11s", "Go to time")</f>
        <v/>
      </c>
    </row>
    <row r="3289">
      <c r="A3289">
        <f>HYPERLINK("https://www.youtube.com/watch?v=3M3L4VIZv-U", "Video")</f>
        <v/>
      </c>
      <c r="B3289" t="inlineStr">
        <is>
          <t>2:52</t>
        </is>
      </c>
      <c r="C3289" t="inlineStr">
        <is>
          <t>But even these indirect glimpses are 
enough to drive them insane.</t>
        </is>
      </c>
      <c r="D3289">
        <f>HYPERLINK("https://www.youtube.com/watch?v=3M3L4VIZv-U&amp;t=172s", "Go to time")</f>
        <v/>
      </c>
    </row>
    <row r="3290">
      <c r="A3290">
        <f>HYPERLINK("https://www.youtube.com/watch?v=B5x5CnwQZD4", "Video")</f>
        <v/>
      </c>
      <c r="B3290" t="inlineStr">
        <is>
          <t>1:18</t>
        </is>
      </c>
      <c r="C3290" t="inlineStr">
        <is>
          <t>just as a celebirty might use
a private car and driver today.</t>
        </is>
      </c>
      <c r="D3290">
        <f>HYPERLINK("https://www.youtube.com/watch?v=B5x5CnwQZD4&amp;t=78s", "Go to time")</f>
        <v/>
      </c>
    </row>
    <row r="3291">
      <c r="A3291">
        <f>HYPERLINK("https://www.youtube.com/watch?v=hRzRjHzvOts", "Video")</f>
        <v/>
      </c>
      <c r="B3291" t="inlineStr">
        <is>
          <t>2:47</t>
        </is>
      </c>
      <c r="C3291" t="inlineStr">
        <is>
          <t>and can drive them to extinction.</t>
        </is>
      </c>
      <c r="D3291">
        <f>HYPERLINK("https://www.youtube.com/watch?v=hRzRjHzvOts&amp;t=167s", "Go to time")</f>
        <v/>
      </c>
    </row>
    <row r="3292">
      <c r="A3292">
        <f>HYPERLINK("https://www.youtube.com/watch?v=w6EGyFAGpXU", "Video")</f>
        <v/>
      </c>
      <c r="B3292" t="inlineStr">
        <is>
          <t>4:04</t>
        </is>
      </c>
      <c r="C3292" t="inlineStr">
        <is>
          <t>to create effects like distortion,
overdrive, wah-wah, delay and flanger.</t>
        </is>
      </c>
      <c r="D3292">
        <f>HYPERLINK("https://www.youtube.com/watch?v=w6EGyFAGpXU&amp;t=244s", "Go to time")</f>
        <v/>
      </c>
    </row>
    <row r="3293">
      <c r="A3293">
        <f>HYPERLINK("https://www.youtube.com/watch?v=g09BQes-B7E", "Video")</f>
        <v/>
      </c>
      <c r="B3293" t="inlineStr">
        <is>
          <t>4:34</t>
        </is>
      </c>
      <c r="C3293" t="inlineStr">
        <is>
          <t>by putting the immune system
into overdrive.</t>
        </is>
      </c>
      <c r="D3293">
        <f>HYPERLINK("https://www.youtube.com/watch?v=g09BQes-B7E&amp;t=274s", "Go to time")</f>
        <v/>
      </c>
    </row>
    <row r="3294">
      <c r="A3294">
        <f>HYPERLINK("https://www.youtube.com/watch?v=v5FL9VTBZzQ", "Video")</f>
        <v/>
      </c>
      <c r="B3294" t="inlineStr">
        <is>
          <t>1:05</t>
        </is>
      </c>
      <c r="C3294" t="inlineStr">
        <is>
          <t>as drivers of discovery and invention.</t>
        </is>
      </c>
      <c r="D3294">
        <f>HYPERLINK("https://www.youtube.com/watch?v=v5FL9VTBZzQ&amp;t=65s", "Go to time")</f>
        <v/>
      </c>
    </row>
    <row r="3295">
      <c r="A3295">
        <f>HYPERLINK("https://www.youtube.com/watch?v=Fj2hTS5Kjyw", "Video")</f>
        <v/>
      </c>
      <c r="B3295" t="inlineStr">
        <is>
          <t>0:24</t>
        </is>
      </c>
      <c r="C3295" t="inlineStr">
        <is>
          <t>Your ship’s faster-than-light jump drive 
consumes 1 unit of fuel</t>
        </is>
      </c>
      <c r="D3295">
        <f>HYPERLINK("https://www.youtube.com/watch?v=Fj2hTS5Kjyw&amp;t=24s", "Go to time")</f>
        <v/>
      </c>
    </row>
    <row r="3296">
      <c r="A3296">
        <f>HYPERLINK("https://www.youtube.com/watch?v=UsY-WfoKy80", "Video")</f>
        <v/>
      </c>
      <c r="B3296" t="inlineStr">
        <is>
          <t>1:13</t>
        </is>
      </c>
      <c r="C3296" t="inlineStr">
        <is>
          <t>and these drivers aren’t 
musicians... right?</t>
        </is>
      </c>
      <c r="D3296">
        <f>HYPERLINK("https://www.youtube.com/watch?v=UsY-WfoKy80&amp;t=73s", "Go to time")</f>
        <v/>
      </c>
    </row>
    <row r="3297">
      <c r="A3297">
        <f>HYPERLINK("https://www.youtube.com/watch?v=PP8Zc778B8s", "Video")</f>
        <v/>
      </c>
      <c r="B3297" t="inlineStr">
        <is>
          <t>1:30</t>
        </is>
      </c>
      <c r="C3297" t="inlineStr">
        <is>
          <t>This underlying goal drives the system
to learn which buttons to press</t>
        </is>
      </c>
      <c r="D3297">
        <f>HYPERLINK("https://www.youtube.com/watch?v=PP8Zc778B8s&amp;t=90s", "Go to time")</f>
        <v/>
      </c>
    </row>
    <row r="3298">
      <c r="A3298">
        <f>HYPERLINK("https://www.youtube.com/watch?v=PP8Zc778B8s", "Video")</f>
        <v/>
      </c>
      <c r="B3298" t="inlineStr">
        <is>
          <t>3:48</t>
        </is>
      </c>
      <c r="C3298" t="inlineStr">
        <is>
          <t>With this new drive, DQN not only
managed to grab that first key—</t>
        </is>
      </c>
      <c r="D3298">
        <f>HYPERLINK("https://www.youtube.com/watch?v=PP8Zc778B8s&amp;t=228s", "Go to time")</f>
        <v/>
      </c>
    </row>
    <row r="3299">
      <c r="A3299">
        <f>HYPERLINK("https://www.youtube.com/watch?v=s6TXDFp1EcM", "Video")</f>
        <v/>
      </c>
      <c r="B3299" t="inlineStr">
        <is>
          <t>3:07</t>
        </is>
      </c>
      <c r="C3299" t="inlineStr">
        <is>
          <t>land use that drives deforestation
and habitat destruction.</t>
        </is>
      </c>
      <c r="D3299">
        <f>HYPERLINK("https://www.youtube.com/watch?v=s6TXDFp1EcM&amp;t=187s", "Go to time")</f>
        <v/>
      </c>
    </row>
    <row r="3300">
      <c r="A3300">
        <f>HYPERLINK("https://www.youtube.com/watch?v=s6TXDFp1EcM", "Video")</f>
        <v/>
      </c>
      <c r="B3300" t="inlineStr">
        <is>
          <t>3:35</t>
        </is>
      </c>
      <c r="C3300" t="inlineStr">
        <is>
          <t>soybean farms are a major driver
of deforestation,</t>
        </is>
      </c>
      <c r="D3300">
        <f>HYPERLINK("https://www.youtube.com/watch?v=s6TXDFp1EcM&amp;t=215s", "Go to time")</f>
        <v/>
      </c>
    </row>
    <row r="3301">
      <c r="A3301">
        <f>HYPERLINK("https://www.youtube.com/watch?v=2QLUtt86m0c", "Video")</f>
        <v/>
      </c>
      <c r="B3301" t="inlineStr">
        <is>
          <t>14:32</t>
        </is>
      </c>
      <c r="C3301" t="inlineStr">
        <is>
          <t>learning from the hypothesis driven mode</t>
        </is>
      </c>
      <c r="D3301">
        <f>HYPERLINK("https://www.youtube.com/watch?v=2QLUtt86m0c&amp;t=872s", "Go to time")</f>
        <v/>
      </c>
    </row>
    <row r="3302">
      <c r="A3302">
        <f>HYPERLINK("https://www.youtube.com/watch?v=2QLUtt86m0c", "Video")</f>
        <v/>
      </c>
      <c r="B3302" t="inlineStr">
        <is>
          <t>14:34</t>
        </is>
      </c>
      <c r="C3302" t="inlineStr">
        <is>
          <t>to the datadriven mode a transformation</t>
        </is>
      </c>
      <c r="D3302">
        <f>HYPERLINK("https://www.youtube.com/watch?v=2QLUtt86m0c&amp;t=874s", "Go to time")</f>
        <v/>
      </c>
    </row>
    <row r="3303">
      <c r="A3303">
        <f>HYPERLINK("https://www.youtube.com/watch?v=m8bDCaPhOek", "Video")</f>
        <v/>
      </c>
      <c r="B3303" t="inlineStr">
        <is>
          <t>1:11</t>
        </is>
      </c>
      <c r="C3303" t="inlineStr">
        <is>
          <t>Others, that they were driven by war.</t>
        </is>
      </c>
      <c r="D3303">
        <f>HYPERLINK("https://www.youtube.com/watch?v=m8bDCaPhOek&amp;t=71s", "Go to time")</f>
        <v/>
      </c>
    </row>
    <row r="3304">
      <c r="A3304">
        <f>HYPERLINK("https://www.youtube.com/watch?v=6PiyUjVxukI", "Video")</f>
        <v/>
      </c>
      <c r="B3304" t="inlineStr">
        <is>
          <t>3:01</t>
        </is>
      </c>
      <c r="C3304" t="inlineStr">
        <is>
          <t>may be driven by an unstable 
quantum energy state.</t>
        </is>
      </c>
      <c r="D3304">
        <f>HYPERLINK("https://www.youtube.com/watch?v=6PiyUjVxukI&amp;t=181s", "Go to time")</f>
        <v/>
      </c>
    </row>
    <row r="3305">
      <c r="A3305">
        <f>HYPERLINK("https://www.youtube.com/watch?v=f4pkzHP3qyA", "Video")</f>
        <v/>
      </c>
      <c r="B3305" t="inlineStr">
        <is>
          <t>7:15</t>
        </is>
      </c>
      <c r="C3305" t="inlineStr">
        <is>
          <t>The Union soliders drive the Confederates off.</t>
        </is>
      </c>
      <c r="D3305">
        <f>HYPERLINK("https://www.youtube.com/watch?v=f4pkzHP3qyA&amp;t=435s", "Go to time")</f>
        <v/>
      </c>
    </row>
    <row r="3306">
      <c r="A3306">
        <f>HYPERLINK("https://www.youtube.com/watch?v=N9LC-3ZKiok", "Video")</f>
        <v/>
      </c>
      <c r="B3306" t="inlineStr">
        <is>
          <t>3:57</t>
        </is>
      </c>
      <c r="C3306" t="inlineStr">
        <is>
          <t>By challenging assumptions 
with data-driven research,</t>
        </is>
      </c>
      <c r="D3306">
        <f>HYPERLINK("https://www.youtube.com/watch?v=N9LC-3ZKiok&amp;t=237s", "Go to time")</f>
        <v/>
      </c>
    </row>
    <row r="3307">
      <c r="A3307">
        <f>HYPERLINK("https://www.youtube.com/watch?v=9wiHfHOPbyE", "Video")</f>
        <v/>
      </c>
      <c r="B3307" t="inlineStr">
        <is>
          <t>9:00</t>
        </is>
      </c>
      <c r="C3307" t="inlineStr">
        <is>
          <t>and drive and decision-making and indeed</t>
        </is>
      </c>
      <c r="D3307">
        <f>HYPERLINK("https://www.youtube.com/watch?v=9wiHfHOPbyE&amp;t=540s", "Go to time")</f>
        <v/>
      </c>
    </row>
    <row r="3308">
      <c r="A3308">
        <f>HYPERLINK("https://www.youtube.com/watch?v=9wiHfHOPbyE", "Video")</f>
        <v/>
      </c>
      <c r="B3308" t="inlineStr">
        <is>
          <t>9:05</t>
        </is>
      </c>
      <c r="C3308" t="inlineStr">
        <is>
          <t>lack motivation and drive the other</t>
        </is>
      </c>
      <c r="D3308">
        <f>HYPERLINK("https://www.youtube.com/watch?v=9wiHfHOPbyE&amp;t=545s", "Go to time")</f>
        <v/>
      </c>
    </row>
    <row r="3309">
      <c r="A3309">
        <f>HYPERLINK("https://www.youtube.com/watch?v=9wiHfHOPbyE", "Video")</f>
        <v/>
      </c>
      <c r="B3309" t="inlineStr">
        <is>
          <t>10:08</t>
        </is>
      </c>
      <c r="C3309" t="inlineStr">
        <is>
          <t>drive down Area 25 down to a more normal</t>
        </is>
      </c>
      <c r="D3309">
        <f>HYPERLINK("https://www.youtube.com/watch?v=9wiHfHOPbyE&amp;t=608s", "Go to time")</f>
        <v/>
      </c>
    </row>
    <row r="3310">
      <c r="A3310">
        <f>HYPERLINK("https://www.youtube.com/watch?v=eIdJ22AfsO8", "Video")</f>
        <v/>
      </c>
      <c r="B3310" t="inlineStr">
        <is>
          <t>2:38</t>
        </is>
      </c>
      <c r="C3310" t="inlineStr">
        <is>
          <t>one of the main drivers of climate change.</t>
        </is>
      </c>
      <c r="D3310">
        <f>HYPERLINK("https://www.youtube.com/watch?v=eIdJ22AfsO8&amp;t=158s", "Go to time")</f>
        <v/>
      </c>
    </row>
    <row r="3311">
      <c r="A3311">
        <f>HYPERLINK("https://www.youtube.com/watch?v=Y7zyB7rsvHU", "Video")</f>
        <v/>
      </c>
      <c r="B3311" t="inlineStr">
        <is>
          <t>0:14</t>
        </is>
      </c>
      <c r="C3311" t="inlineStr">
        <is>
          <t>but with the help of a screwdriver and 
two other prisoners,</t>
        </is>
      </c>
      <c r="D3311">
        <f>HYPERLINK("https://www.youtube.com/watch?v=Y7zyB7rsvHU&amp;t=14s", "Go to time")</f>
        <v/>
      </c>
    </row>
    <row r="3312">
      <c r="A3312">
        <f>HYPERLINK("https://www.youtube.com/watch?v=Y7zyB7rsvHU", "Video")</f>
        <v/>
      </c>
      <c r="B3312" t="inlineStr">
        <is>
          <t>3:32</t>
        </is>
      </c>
      <c r="C3312" t="inlineStr">
        <is>
          <t>Secreting a screwdriver away 
from the guards,</t>
        </is>
      </c>
      <c r="D3312">
        <f>HYPERLINK("https://www.youtube.com/watch?v=Y7zyB7rsvHU&amp;t=212s", "Go to time")</f>
        <v/>
      </c>
    </row>
    <row r="3313">
      <c r="A3313">
        <f>HYPERLINK("https://www.youtube.com/watch?v=TNokBgtSUvQ", "Video")</f>
        <v/>
      </c>
      <c r="B3313" t="inlineStr">
        <is>
          <t>0:56</t>
        </is>
      </c>
      <c r="C3313" t="inlineStr">
        <is>
          <t>at least not if every driver maintains 
the same consistent speed and spacing</t>
        </is>
      </c>
      <c r="D3313">
        <f>HYPERLINK("https://www.youtube.com/watch?v=TNokBgtSUvQ&amp;t=56s", "Go to time")</f>
        <v/>
      </c>
    </row>
    <row r="3314">
      <c r="A3314">
        <f>HYPERLINK("https://www.youtube.com/watch?v=TNokBgtSUvQ", "Video")</f>
        <v/>
      </c>
      <c r="B3314" t="inlineStr">
        <is>
          <t>1:01</t>
        </is>
      </c>
      <c r="C3314" t="inlineStr">
        <is>
          <t>from other drivers.</t>
        </is>
      </c>
      <c r="D3314">
        <f>HYPERLINK("https://www.youtube.com/watch?v=TNokBgtSUvQ&amp;t=61s", "Go to time")</f>
        <v/>
      </c>
    </row>
    <row r="3315">
      <c r="A3315">
        <f>HYPERLINK("https://www.youtube.com/watch?v=TNokBgtSUvQ", "Video")</f>
        <v/>
      </c>
      <c r="B3315" t="inlineStr">
        <is>
          <t>1:11</t>
        </is>
      </c>
      <c r="C3315" t="inlineStr">
        <is>
          <t>Say one driver brakes slightly.</t>
        </is>
      </c>
      <c r="D3315">
        <f>HYPERLINK("https://www.youtube.com/watch?v=TNokBgtSUvQ&amp;t=71s", "Go to time")</f>
        <v/>
      </c>
    </row>
    <row r="3316">
      <c r="A3316">
        <f>HYPERLINK("https://www.youtube.com/watch?v=TNokBgtSUvQ", "Video")</f>
        <v/>
      </c>
      <c r="B3316" t="inlineStr">
        <is>
          <t>1:14</t>
        </is>
      </c>
      <c r="C3316" t="inlineStr">
        <is>
          <t>Each successive driver then brakes 
a little more strongly,</t>
        </is>
      </c>
      <c r="D3316">
        <f>HYPERLINK("https://www.youtube.com/watch?v=TNokBgtSUvQ&amp;t=74s", "Go to time")</f>
        <v/>
      </c>
    </row>
    <row r="3317">
      <c r="A3317">
        <f>HYPERLINK("https://www.youtube.com/watch?v=TNokBgtSUvQ", "Video")</f>
        <v/>
      </c>
      <c r="B3317" t="inlineStr">
        <is>
          <t>1:38</t>
        </is>
      </c>
      <c r="C3317" t="inlineStr">
        <is>
          <t>are absorbed by other 
drivers’ adjustments.</t>
        </is>
      </c>
      <c r="D3317">
        <f>HYPERLINK("https://www.youtube.com/watch?v=TNokBgtSUvQ&amp;t=98s", "Go to time")</f>
        <v/>
      </c>
    </row>
    <row r="3318">
      <c r="A3318">
        <f>HYPERLINK("https://www.youtube.com/watch?v=TNokBgtSUvQ", "Video")</f>
        <v/>
      </c>
      <c r="B3318" t="inlineStr">
        <is>
          <t>2:35</t>
        </is>
      </c>
      <c r="C3318" t="inlineStr">
        <is>
          <t>Drivers tend not to realize they need 
to break far in advance of a traffic jam,</t>
        </is>
      </c>
      <c r="D3318">
        <f>HYPERLINK("https://www.youtube.com/watch?v=TNokBgtSUvQ&amp;t=155s", "Go to time")</f>
        <v/>
      </c>
    </row>
    <row r="3319">
      <c r="A3319">
        <f>HYPERLINK("https://www.youtube.com/watch?v=TNokBgtSUvQ", "Video")</f>
        <v/>
      </c>
      <c r="B3319" t="inlineStr">
        <is>
          <t>2:48</t>
        </is>
      </c>
      <c r="C3319" t="inlineStr">
        <is>
          <t>What’s more, drivers tend to accelerate
too rapidly out of a slowdown,</t>
        </is>
      </c>
      <c r="D3319">
        <f>HYPERLINK("https://www.youtube.com/watch?v=TNokBgtSUvQ&amp;t=168s", "Go to time")</f>
        <v/>
      </c>
    </row>
    <row r="3320">
      <c r="A3320">
        <f>HYPERLINK("https://www.youtube.com/watch?v=TNokBgtSUvQ", "Video")</f>
        <v/>
      </c>
      <c r="B3320" t="inlineStr">
        <is>
          <t>2:53</t>
        </is>
      </c>
      <c r="C3320" t="inlineStr">
        <is>
          <t>meaning they try to drive faster</t>
        </is>
      </c>
      <c r="D3320">
        <f>HYPERLINK("https://www.youtube.com/watch?v=TNokBgtSUvQ&amp;t=173s", "Go to time")</f>
        <v/>
      </c>
    </row>
    <row r="3321">
      <c r="A3321">
        <f>HYPERLINK("https://www.youtube.com/watch?v=TNokBgtSUvQ", "Video")</f>
        <v/>
      </c>
      <c r="B3321" t="inlineStr">
        <is>
          <t>3:05</t>
        </is>
      </c>
      <c r="C3321" t="inlineStr">
        <is>
          <t>In both cases, drivers make traffic worse</t>
        </is>
      </c>
      <c r="D3321">
        <f>HYPERLINK("https://www.youtube.com/watch?v=TNokBgtSUvQ&amp;t=185s", "Go to time")</f>
        <v/>
      </c>
    </row>
    <row r="3322">
      <c r="A3322">
        <f>HYPERLINK("https://www.youtube.com/watch?v=TNokBgtSUvQ", "Video")</f>
        <v/>
      </c>
      <c r="B3322" t="inlineStr">
        <is>
          <t>3:41</t>
        </is>
      </c>
      <c r="C3322" t="inlineStr">
        <is>
          <t>braking sooner and more gradually 
than a human driver</t>
        </is>
      </c>
      <c r="D3322">
        <f>HYPERLINK("https://www.youtube.com/watch?v=TNokBgtSUvQ&amp;t=221s", "Go to time")</f>
        <v/>
      </c>
    </row>
    <row r="3323">
      <c r="A3323">
        <f>HYPERLINK("https://www.youtube.com/watch?v=TNokBgtSUvQ", "Video")</f>
        <v/>
      </c>
      <c r="B3323" t="inlineStr">
        <is>
          <t>3:51</t>
        </is>
      </c>
      <c r="C3323" t="inlineStr">
        <is>
          <t>In a recent experiment, one autonomous 
vehicle for every 20 human drivers</t>
        </is>
      </c>
      <c r="D3323">
        <f>HYPERLINK("https://www.youtube.com/watch?v=TNokBgtSUvQ&amp;t=231s", "Go to time")</f>
        <v/>
      </c>
    </row>
    <row r="3324">
      <c r="A3324">
        <f>HYPERLINK("https://www.youtube.com/watch?v=TNokBgtSUvQ", "Video")</f>
        <v/>
      </c>
      <c r="B3324" t="inlineStr">
        <is>
          <t>4:20</t>
        </is>
      </c>
      <c r="C3324" t="inlineStr">
        <is>
          <t>it may help to remember that other drivers
aren’t necessarily driving spitefully,</t>
        </is>
      </c>
      <c r="D3324">
        <f>HYPERLINK("https://www.youtube.com/watch?v=TNokBgtSUvQ&amp;t=260s", "Go to time")</f>
        <v/>
      </c>
    </row>
    <row r="3325">
      <c r="A3325">
        <f>HYPERLINK("https://www.youtube.com/watch?v=TNokBgtSUvQ", "Video")</f>
        <v/>
      </c>
      <c r="B3325" t="inlineStr">
        <is>
          <t>4:24</t>
        </is>
      </c>
      <c r="C3325" t="inlineStr">
        <is>
          <t>but are simply unaware of road 
conditions ahead— and drive accordingly.</t>
        </is>
      </c>
      <c r="D3325">
        <f>HYPERLINK("https://www.youtube.com/watch?v=TNokBgtSUvQ&amp;t=264s", "Go to time")</f>
        <v/>
      </c>
    </row>
    <row r="3326">
      <c r="A3326">
        <f>HYPERLINK("https://www.youtube.com/watch?v=zAxfrI8zHU4", "Video")</f>
        <v/>
      </c>
      <c r="B3326" t="inlineStr">
        <is>
          <t>2:15</t>
        </is>
      </c>
      <c r="C3326" t="inlineStr">
        <is>
          <t>He needed to drive
Helios’ chariot for a day.</t>
        </is>
      </c>
      <c r="D3326">
        <f>HYPERLINK("https://www.youtube.com/watch?v=zAxfrI8zHU4&amp;t=135s", "Go to time")</f>
        <v/>
      </c>
    </row>
    <row r="3327">
      <c r="A3327">
        <f>HYPERLINK("https://www.youtube.com/watch?v=WIdWjqZsGgg", "Video")</f>
        <v/>
      </c>
      <c r="B3327" t="inlineStr">
        <is>
          <t>4:23</t>
        </is>
      </c>
      <c r="C3327" t="inlineStr">
        <is>
          <t>Today, this science-driven economic 
policy has largely eliminated acid rain</t>
        </is>
      </c>
      <c r="D3327">
        <f>HYPERLINK("https://www.youtube.com/watch?v=WIdWjqZsGgg&amp;t=263s", "Go to time")</f>
        <v/>
      </c>
    </row>
    <row r="3328">
      <c r="A3328">
        <f>HYPERLINK("https://www.youtube.com/watch?v=DgzxhDHjzms", "Video")</f>
        <v/>
      </c>
      <c r="B3328" t="inlineStr">
        <is>
          <t>0:38</t>
        </is>
      </c>
      <c r="C3328" t="inlineStr">
        <is>
          <t>In the pulse, drivers accelerate slowly</t>
        </is>
      </c>
      <c r="D3328">
        <f>HYPERLINK("https://www.youtube.com/watch?v=DgzxhDHjzms&amp;t=38s", "Go to time")</f>
        <v/>
      </c>
    </row>
    <row r="3329">
      <c r="A3329">
        <f>HYPERLINK("https://www.youtube.com/watch?v=DgzxhDHjzms", "Video")</f>
        <v/>
      </c>
      <c r="B3329" t="inlineStr">
        <is>
          <t>1:29</t>
        </is>
      </c>
      <c r="C3329" t="inlineStr">
        <is>
          <t>that can drive the wheels.</t>
        </is>
      </c>
      <c r="D3329">
        <f>HYPERLINK("https://www.youtube.com/watch?v=DgzxhDHjzms&amp;t=89s", "Go to time")</f>
        <v/>
      </c>
    </row>
    <row r="3330">
      <c r="A3330">
        <f>HYPERLINK("https://www.youtube.com/watch?v=DgzxhDHjzms", "Video")</f>
        <v/>
      </c>
      <c r="B3330" t="inlineStr">
        <is>
          <t>3:10</t>
        </is>
      </c>
      <c r="C3330" t="inlineStr">
        <is>
          <t>the wheels are driven by inertial energy,
rather than combustion,</t>
        </is>
      </c>
      <c r="D3330">
        <f>HYPERLINK("https://www.youtube.com/watch?v=DgzxhDHjzms&amp;t=190s", "Go to time")</f>
        <v/>
      </c>
    </row>
    <row r="3331">
      <c r="A3331">
        <f>HYPERLINK("https://www.youtube.com/watch?v=DgzxhDHjzms", "Video")</f>
        <v/>
      </c>
      <c r="B3331" t="inlineStr">
        <is>
          <t>3:57</t>
        </is>
      </c>
      <c r="C3331" t="inlineStr">
        <is>
          <t>driven into the wires of the stator,</t>
        </is>
      </c>
      <c r="D3331">
        <f>HYPERLINK("https://www.youtube.com/watch?v=DgzxhDHjzms&amp;t=237s", "Go to time")</f>
        <v/>
      </c>
    </row>
    <row r="3332">
      <c r="A3332">
        <f>HYPERLINK("https://www.youtube.com/watch?v=DgzxhDHjzms", "Video")</f>
        <v/>
      </c>
      <c r="B3332" t="inlineStr">
        <is>
          <t>4:35</t>
        </is>
      </c>
      <c r="C3332" t="inlineStr">
        <is>
          <t>as drivers compete to travel the farthest
on the fewest kilowatt-hours.</t>
        </is>
      </c>
      <c r="D3332">
        <f>HYPERLINK("https://www.youtube.com/watch?v=DgzxhDHjzms&amp;t=275s", "Go to time")</f>
        <v/>
      </c>
    </row>
    <row r="3333">
      <c r="A3333">
        <f>HYPERLINK("https://www.youtube.com/watch?v=f_OPjYQovAE", "Video")</f>
        <v/>
      </c>
      <c r="B3333" t="inlineStr">
        <is>
          <t>4:35</t>
        </is>
      </c>
      <c r="C3333" t="inlineStr">
        <is>
          <t>The drive to reach out may
feel overwhelming,</t>
        </is>
      </c>
      <c r="D3333">
        <f>HYPERLINK("https://www.youtube.com/watch?v=f_OPjYQovAE&amp;t=275s", "Go to time")</f>
        <v/>
      </c>
    </row>
    <row r="3334">
      <c r="A3334">
        <f>HYPERLINK("https://www.youtube.com/watch?v=ptM7FzyjtRk", "Video")</f>
        <v/>
      </c>
      <c r="B3334" t="inlineStr">
        <is>
          <t>0:44</t>
        </is>
      </c>
      <c r="C3334" t="inlineStr">
        <is>
          <t>And it has long driven grammar nerds crazy</t>
        </is>
      </c>
      <c r="D3334">
        <f>HYPERLINK("https://www.youtube.com/watch?v=ptM7FzyjtRk&amp;t=44s", "Go to time")</f>
        <v/>
      </c>
    </row>
    <row r="3335">
      <c r="A3335">
        <f>HYPERLINK("https://www.youtube.com/watch?v=XiBXhCr_Jpw", "Video")</f>
        <v/>
      </c>
      <c r="B3335" t="inlineStr">
        <is>
          <t>1:59</t>
        </is>
      </c>
      <c r="C3335" t="inlineStr">
        <is>
          <t>by sending it into overdrive.</t>
        </is>
      </c>
      <c r="D3335">
        <f>HYPERLINK("https://www.youtube.com/watch?v=XiBXhCr_Jpw&amp;t=119s", "Go to time")</f>
        <v/>
      </c>
    </row>
    <row r="3336">
      <c r="A3336">
        <f>HYPERLINK("https://www.youtube.com/watch?v=GASaqPv0t0g", "Video")</f>
        <v/>
      </c>
      <c r="B3336" t="inlineStr">
        <is>
          <t>1:20</t>
        </is>
      </c>
      <c r="C3336" t="inlineStr">
        <is>
          <t>Those changes in turn drive their decline,</t>
        </is>
      </c>
      <c r="D3336">
        <f>HYPERLINK("https://www.youtube.com/watch?v=GASaqPv0t0g&amp;t=80s", "Go to time")</f>
        <v/>
      </c>
    </row>
    <row r="3337">
      <c r="A3337">
        <f>HYPERLINK("https://www.youtube.com/watch?v=y4BDnlUQ3CA", "Video")</f>
        <v/>
      </c>
      <c r="B3337" t="inlineStr">
        <is>
          <t>1:05</t>
        </is>
      </c>
      <c r="C3337" t="inlineStr">
        <is>
          <t>Temperance groups believed 
that alcohol was the fundamental driver</t>
        </is>
      </c>
      <c r="D3337">
        <f>HYPERLINK("https://www.youtube.com/watch?v=y4BDnlUQ3CA&amp;t=65s", "Go to time")</f>
        <v/>
      </c>
    </row>
    <row r="3338">
      <c r="A3338">
        <f>HYPERLINK("https://www.youtube.com/watch?v=5y0pcLkD7-I", "Video")</f>
        <v/>
      </c>
      <c r="B3338" t="inlineStr">
        <is>
          <t>9:03</t>
        </is>
      </c>
      <c r="C3338" t="inlineStr">
        <is>
          <t>and fulfill his drive to transform 
the entire world into a giant maze.</t>
        </is>
      </c>
      <c r="D3338">
        <f>HYPERLINK("https://www.youtube.com/watch?v=5y0pcLkD7-I&amp;t=543s", "Go to time")</f>
        <v/>
      </c>
    </row>
    <row r="3339">
      <c r="A3339">
        <f>HYPERLINK("https://www.youtube.com/watch?v=OXT8xdqcAoU", "Video")</f>
        <v/>
      </c>
      <c r="B3339" t="inlineStr">
        <is>
          <t>2:53</t>
        </is>
      </c>
      <c r="C3339" t="inlineStr">
        <is>
          <t>For example, if you're a rideshare driver,
you get to choose when to work,</t>
        </is>
      </c>
      <c r="D3339">
        <f>HYPERLINK("https://www.youtube.com/watch?v=OXT8xdqcAoU&amp;t=173s", "Go to time")</f>
        <v/>
      </c>
    </row>
    <row r="3340">
      <c r="A3340">
        <f>HYPERLINK("https://www.youtube.com/watch?v=OXT8xdqcAoU", "Video")</f>
        <v/>
      </c>
      <c r="B3340" t="inlineStr">
        <is>
          <t>3:28</t>
        </is>
      </c>
      <c r="C3340" t="inlineStr">
        <is>
          <t>It contains 740 million trips 
by 1.8 million drivers</t>
        </is>
      </c>
      <c r="D3340">
        <f>HYPERLINK("https://www.youtube.com/watch?v=OXT8xdqcAoU&amp;t=208s", "Go to time")</f>
        <v/>
      </c>
    </row>
    <row r="3341">
      <c r="A3341">
        <f>HYPERLINK("https://www.youtube.com/watch?v=OXT8xdqcAoU", "Video")</f>
        <v/>
      </c>
      <c r="B3341" t="inlineStr">
        <is>
          <t>3:42</t>
        </is>
      </c>
      <c r="C3341" t="inlineStr">
        <is>
          <t>drivers’ average earnings dropped from
about $22 an hour to about $12 an hour.</t>
        </is>
      </c>
      <c r="D3341">
        <f>HYPERLINK("https://www.youtube.com/watch?v=OXT8xdqcAoU&amp;t=222s", "Go to time")</f>
        <v/>
      </c>
    </row>
    <row r="3342">
      <c r="A3342">
        <f>HYPERLINK("https://www.youtube.com/watch?v=OXT8xdqcAoU", "Video")</f>
        <v/>
      </c>
      <c r="B3342" t="inlineStr">
        <is>
          <t>4:04</t>
        </is>
      </c>
      <c r="C3342" t="inlineStr">
        <is>
          <t>Drivers are matched with shippers,
and 99 takes a cut.</t>
        </is>
      </c>
      <c r="D3342">
        <f>HYPERLINK("https://www.youtube.com/watch?v=OXT8xdqcAoU&amp;t=244s", "Go to time")</f>
        <v/>
      </c>
    </row>
    <row r="3343">
      <c r="A3343">
        <f>HYPERLINK("https://www.youtube.com/watch?v=OXT8xdqcAoU", "Video")</f>
        <v/>
      </c>
      <c r="B3343" t="inlineStr">
        <is>
          <t>4:08</t>
        </is>
      </c>
      <c r="C3343" t="inlineStr">
        <is>
          <t>The company’s terms and conditions
hold both the shipper and the driver</t>
        </is>
      </c>
      <c r="D3343">
        <f>HYPERLINK("https://www.youtube.com/watch?v=OXT8xdqcAoU&amp;t=248s", "Go to time")</f>
        <v/>
      </c>
    </row>
    <row r="3344">
      <c r="A3344">
        <f>HYPERLINK("https://www.youtube.com/watch?v=r8qWc9X4f6k", "Video")</f>
        <v/>
      </c>
      <c r="B3344" t="inlineStr">
        <is>
          <t>0:17</t>
        </is>
      </c>
      <c r="C3344" t="inlineStr">
        <is>
          <t>Hard drive storage will deteriorate.</t>
        </is>
      </c>
      <c r="D3344">
        <f>HYPERLINK("https://www.youtube.com/watch?v=r8qWc9X4f6k&amp;t=17s", "Go to time")</f>
        <v/>
      </c>
    </row>
    <row r="3345">
      <c r="A3345">
        <f>HYPERLINK("https://www.youtube.com/watch?v=ehHoOYqAT_U", "Video")</f>
        <v/>
      </c>
      <c r="B3345" t="inlineStr">
        <is>
          <t>3:25</t>
        </is>
      </c>
      <c r="C3345" t="inlineStr">
        <is>
          <t>a vital part of the fusion interactions 
that drive the Sun.</t>
        </is>
      </c>
      <c r="D3345">
        <f>HYPERLINK("https://www.youtube.com/watch?v=ehHoOYqAT_U&amp;t=205s", "Go to time")</f>
        <v/>
      </c>
    </row>
    <row r="3346">
      <c r="A3346">
        <f>HYPERLINK("https://www.youtube.com/watch?v=SEczpdxl6e4", "Video")</f>
        <v/>
      </c>
      <c r="B3346" t="inlineStr">
        <is>
          <t>0:09</t>
        </is>
      </c>
      <c r="C3346" t="inlineStr">
        <is>
          <t>We are not beasts and we do not intend 
to be beaten or driven as such...</t>
        </is>
      </c>
      <c r="D3346">
        <f>HYPERLINK("https://www.youtube.com/watch?v=SEczpdxl6e4&amp;t=9s", "Go to time")</f>
        <v/>
      </c>
    </row>
    <row r="3347">
      <c r="A3347">
        <f>HYPERLINK("https://www.youtube.com/watch?v=GHBb25lzNVM", "Video")</f>
        <v/>
      </c>
      <c r="B3347" t="inlineStr">
        <is>
          <t>2:51</t>
        </is>
      </c>
      <c r="C3347" t="inlineStr">
        <is>
          <t>would be driven by upper 
atmospheric winds,</t>
        </is>
      </c>
      <c r="D3347">
        <f>HYPERLINK("https://www.youtube.com/watch?v=GHBb25lzNVM&amp;t=171s", "Go to time")</f>
        <v/>
      </c>
    </row>
    <row r="3348">
      <c r="A3348">
        <f>HYPERLINK("https://www.youtube.com/watch?v=3LK3ONKo-WM", "Video")</f>
        <v/>
      </c>
      <c r="B3348" t="inlineStr">
        <is>
          <t>7:23</t>
        </is>
      </c>
      <c r="C3348" t="inlineStr">
        <is>
          <t>example or to drive their own car or to</t>
        </is>
      </c>
      <c r="D3348">
        <f>HYPERLINK("https://www.youtube.com/watch?v=3LK3ONKo-WM&amp;t=443s", "Go to time")</f>
        <v/>
      </c>
    </row>
    <row r="3349">
      <c r="A3349">
        <f>HYPERLINK("https://www.youtube.com/watch?v=jFICRFKtAc4", "Video")</f>
        <v/>
      </c>
      <c r="B3349" t="inlineStr">
        <is>
          <t>4:50</t>
        </is>
      </c>
      <c r="C3349" t="inlineStr">
        <is>
          <t>to drive their support behind him
and the Nazi party.</t>
        </is>
      </c>
      <c r="D3349">
        <f>HYPERLINK("https://www.youtube.com/watch?v=jFICRFKtAc4&amp;t=290s", "Go to time")</f>
        <v/>
      </c>
    </row>
    <row r="3350">
      <c r="A3350">
        <f>HYPERLINK("https://www.youtube.com/watch?v=FVmPPVNlvxE", "Video")</f>
        <v/>
      </c>
      <c r="B3350" t="inlineStr">
        <is>
          <t>7:59</t>
        </is>
      </c>
      <c r="C3350" t="inlineStr">
        <is>
          <t>commands to drive robotic arms and after</t>
        </is>
      </c>
      <c r="D3350">
        <f>HYPERLINK("https://www.youtube.com/watch?v=FVmPPVNlvxE&amp;t=479s", "Go to time")</f>
        <v/>
      </c>
    </row>
    <row r="3351">
      <c r="A3351">
        <f>HYPERLINK("https://www.youtube.com/watch?v=t3I9gDocYdk", "Video")</f>
        <v/>
      </c>
      <c r="B3351" t="inlineStr">
        <is>
          <t>0:33</t>
        </is>
      </c>
      <c r="C3351" t="inlineStr">
        <is>
          <t>and are likely to have driven these cats</t>
        </is>
      </c>
      <c r="D3351">
        <f>HYPERLINK("https://www.youtube.com/watch?v=t3I9gDocYdk&amp;t=33s", "Go to time")</f>
        <v/>
      </c>
    </row>
    <row r="3352">
      <c r="A3352">
        <f>HYPERLINK("https://www.youtube.com/watch?v=t3I9gDocYdk", "Video")</f>
        <v/>
      </c>
      <c r="B3352" t="inlineStr">
        <is>
          <t>0:46</t>
        </is>
      </c>
      <c r="C3352" t="inlineStr">
        <is>
          <t>were driven to extinction, often by human hunters.</t>
        </is>
      </c>
      <c r="D3352">
        <f>HYPERLINK("https://www.youtube.com/watch?v=t3I9gDocYdk&amp;t=46s", "Go to time")</f>
        <v/>
      </c>
    </row>
    <row r="3353">
      <c r="A3353">
        <f>HYPERLINK("https://www.youtube.com/watch?v=t3I9gDocYdk", "Video")</f>
        <v/>
      </c>
      <c r="B3353" t="inlineStr">
        <is>
          <t>4:04</t>
        </is>
      </c>
      <c r="C3353" t="inlineStr">
        <is>
          <t>reestablishing species which have been driven out,</t>
        </is>
      </c>
      <c r="D3353">
        <f>HYPERLINK("https://www.youtube.com/watch?v=t3I9gDocYdk&amp;t=244s", "Go to time")</f>
        <v/>
      </c>
    </row>
    <row r="3354">
      <c r="A3354">
        <f>HYPERLINK("https://www.youtube.com/watch?v=t3I9gDocYdk", "Video")</f>
        <v/>
      </c>
      <c r="B3354" t="inlineStr">
        <is>
          <t>4:17</t>
        </is>
      </c>
      <c r="C3354" t="inlineStr">
        <is>
          <t>that drive dynamic processes</t>
        </is>
      </c>
      <c r="D3354">
        <f>HYPERLINK("https://www.youtube.com/watch?v=t3I9gDocYdk&amp;t=257s", "Go to time")</f>
        <v/>
      </c>
    </row>
    <row r="3355">
      <c r="A3355">
        <f>HYPERLINK("https://www.youtube.com/watch?v=dItUGF8GdTw", "Video")</f>
        <v/>
      </c>
      <c r="B3355" t="inlineStr">
        <is>
          <t>3:01</t>
        </is>
      </c>
      <c r="C3355" t="inlineStr">
        <is>
          <t>to make it cheaper for drivers
to fill up on gas.</t>
        </is>
      </c>
      <c r="D3355">
        <f>HYPERLINK("https://www.youtube.com/watch?v=dItUGF8GdTw&amp;t=181s", "Go to time")</f>
        <v/>
      </c>
    </row>
    <row r="3356">
      <c r="A3356">
        <f>HYPERLINK("https://www.youtube.com/watch?v=U_u91SjrEOE", "Video")</f>
        <v/>
      </c>
      <c r="B3356" t="inlineStr">
        <is>
          <t>0:13</t>
        </is>
      </c>
      <c r="C3356" t="inlineStr">
        <is>
          <t>Most Titans were destroyed or
driven to the eternal hell of Tartarus.</t>
        </is>
      </c>
      <c r="D3356">
        <f>HYPERLINK("https://www.youtube.com/watch?v=U_u91SjrEOE&amp;t=13s", "Go to time")</f>
        <v/>
      </c>
    </row>
    <row r="3357">
      <c r="A3357">
        <f>HYPERLINK("https://www.youtube.com/watch?v=DC58z4N0IWw", "Video")</f>
        <v/>
      </c>
      <c r="B3357" t="inlineStr">
        <is>
          <t>19:14</t>
        </is>
      </c>
      <c r="C3357" t="inlineStr">
        <is>
          <t>teacher-driven it's it's been it's been</t>
        </is>
      </c>
      <c r="D3357">
        <f>HYPERLINK("https://www.youtube.com/watch?v=DC58z4N0IWw&amp;t=1154s", "Go to time")</f>
        <v/>
      </c>
    </row>
    <row r="3358">
      <c r="A3358">
        <f>HYPERLINK("https://www.youtube.com/watch?v=dKku0AfTs0c", "Video")</f>
        <v/>
      </c>
      <c r="B3358" t="inlineStr">
        <is>
          <t>1:04</t>
        </is>
      </c>
      <c r="C3358" t="inlineStr">
        <is>
          <t>But the issues that had driven him 
away from the Church</t>
        </is>
      </c>
      <c r="D3358">
        <f>HYPERLINK("https://www.youtube.com/watch?v=dKku0AfTs0c&amp;t=64s", "Go to time")</f>
        <v/>
      </c>
    </row>
    <row r="3359">
      <c r="A3359">
        <f>HYPERLINK("https://www.youtube.com/watch?v=9QVsGWsk7TU", "Video")</f>
        <v/>
      </c>
      <c r="B3359" t="inlineStr">
        <is>
          <t>0:56</t>
        </is>
      </c>
      <c r="C3359" t="inlineStr">
        <is>
          <t>a man has as much drive as a “floor mop,”</t>
        </is>
      </c>
      <c r="D3359">
        <f>HYPERLINK("https://www.youtube.com/watch?v=9QVsGWsk7TU&amp;t=56s", "Go to time")</f>
        <v/>
      </c>
    </row>
    <row r="3360">
      <c r="A3360">
        <f>HYPERLINK("https://www.youtube.com/watch?v=wgbV6DLVezo", "Video")</f>
        <v/>
      </c>
      <c r="B3360" t="inlineStr">
        <is>
          <t>2:48</t>
        </is>
      </c>
      <c r="C3360" t="inlineStr">
        <is>
          <t>Then, a video driver program transmits 
this information</t>
        </is>
      </c>
      <c r="D3360">
        <f>HYPERLINK("https://www.youtube.com/watch?v=wgbV6DLVezo&amp;t=168s", "Go to time")</f>
        <v/>
      </c>
    </row>
    <row r="3361">
      <c r="A3361">
        <f>HYPERLINK("https://www.youtube.com/watch?v=dNlkHtMgcPQ", "Video")</f>
        <v/>
      </c>
      <c r="B3361" t="inlineStr">
        <is>
          <t>4:30</t>
        </is>
      </c>
      <c r="C3361" t="inlineStr">
        <is>
          <t>Rescue them from the zombie apocalypse with vigorous verb-driven sentences</t>
        </is>
      </c>
      <c r="D3361">
        <f>HYPERLINK("https://www.youtube.com/watch?v=dNlkHtMgcPQ&amp;t=270s", "Go to time")</f>
        <v/>
      </c>
    </row>
    <row r="3362">
      <c r="A3362">
        <f>HYPERLINK("https://www.youtube.com/watch?v=z3QPYXNPaaE", "Video")</f>
        <v/>
      </c>
      <c r="B3362" t="inlineStr">
        <is>
          <t>1:02</t>
        </is>
      </c>
      <c r="C3362" t="inlineStr">
        <is>
          <t>that drives them to navigate
long distances</t>
        </is>
      </c>
      <c r="D3362">
        <f>HYPERLINK("https://www.youtube.com/watch?v=z3QPYXNPaaE&amp;t=62s", "Go to time")</f>
        <v/>
      </c>
    </row>
    <row r="3363">
      <c r="A3363">
        <f>HYPERLINK("https://www.youtube.com/watch?v=PNKbbSniAig", "Video")</f>
        <v/>
      </c>
      <c r="B3363" t="inlineStr">
        <is>
          <t>12:41</t>
        </is>
      </c>
      <c r="C3363" t="inlineStr">
        <is>
          <t>whole way was driven by an idea the idea</t>
        </is>
      </c>
      <c r="D3363">
        <f>HYPERLINK("https://www.youtube.com/watch?v=PNKbbSniAig&amp;t=761s", "Go to time")</f>
        <v/>
      </c>
    </row>
    <row r="3364">
      <c r="A3364">
        <f>HYPERLINK("https://www.youtube.com/watch?v=U69LIr0OrNc", "Video")</f>
        <v/>
      </c>
      <c r="B3364" t="inlineStr">
        <is>
          <t>4:06</t>
        </is>
      </c>
      <c r="C3364" t="inlineStr">
        <is>
          <t>It's thought that high oxygen levels
may drive extreme growth in some species,</t>
        </is>
      </c>
      <c r="D3364">
        <f>HYPERLINK("https://www.youtube.com/watch?v=U69LIr0OrNc&amp;t=246s", "Go to time")</f>
        <v/>
      </c>
    </row>
    <row r="3365">
      <c r="A3365">
        <f>HYPERLINK("https://www.youtube.com/watch?v=8yOoOL9PC-o", "Video")</f>
        <v/>
      </c>
      <c r="B3365" t="inlineStr">
        <is>
          <t>2:52</t>
        </is>
      </c>
      <c r="C3365" t="inlineStr">
        <is>
          <t>and most people are driven to resolve 
this uncomfortable state of limbo.</t>
        </is>
      </c>
      <c r="D3365">
        <f>HYPERLINK("https://www.youtube.com/watch?v=8yOoOL9PC-o&amp;t=172s", "Go to time")</f>
        <v/>
      </c>
    </row>
    <row r="3366">
      <c r="A3366">
        <f>HYPERLINK("https://www.youtube.com/watch?v=VdkV8nyqpNs", "Video")</f>
        <v/>
      </c>
      <c r="B3366" t="inlineStr">
        <is>
          <t>8:12</t>
        </is>
      </c>
      <c r="C3366" t="inlineStr">
        <is>
          <t>actually use it to um to to drive your</t>
        </is>
      </c>
      <c r="D3366">
        <f>HYPERLINK("https://www.youtube.com/watch?v=VdkV8nyqpNs&amp;t=492s", "Go to time")</f>
        <v/>
      </c>
    </row>
    <row r="3367">
      <c r="A3367">
        <f>HYPERLINK("https://www.youtube.com/watch?v=VdkV8nyqpNs", "Video")</f>
        <v/>
      </c>
      <c r="B3367" t="inlineStr">
        <is>
          <t>8:16</t>
        </is>
      </c>
      <c r="C3367" t="inlineStr">
        <is>
          <t>my dream to be able to drive a a virus</t>
        </is>
      </c>
      <c r="D3367">
        <f>HYPERLINK("https://www.youtube.com/watch?v=VdkV8nyqpNs&amp;t=496s", "Go to time")</f>
        <v/>
      </c>
    </row>
    <row r="3368">
      <c r="A3368">
        <f>HYPERLINK("https://www.youtube.com/watch?v=8diYLhl8bWU", "Video")</f>
        <v/>
      </c>
      <c r="B3368" t="inlineStr">
        <is>
          <t>0:57</t>
        </is>
      </c>
      <c r="C3368" t="inlineStr">
        <is>
          <t>Secondly, the structures 
that drive hair growth</t>
        </is>
      </c>
      <c r="D3368">
        <f>HYPERLINK("https://www.youtube.com/watch?v=8diYLhl8bWU&amp;t=57s", "Go to time")</f>
        <v/>
      </c>
    </row>
    <row r="3369">
      <c r="A3369">
        <f>HYPERLINK("https://www.youtube.com/watch?v=8diYLhl8bWU", "Video")</f>
        <v/>
      </c>
      <c r="B3369" t="inlineStr">
        <is>
          <t>3:17</t>
        </is>
      </c>
      <c r="C3369" t="inlineStr">
        <is>
          <t>Genetics isn't all that drives hair loss.</t>
        </is>
      </c>
      <c r="D3369">
        <f>HYPERLINK("https://www.youtube.com/watch?v=8diYLhl8bWU&amp;t=197s", "Go to time")</f>
        <v/>
      </c>
    </row>
    <row r="3370">
      <c r="A3370">
        <f>HYPERLINK("https://www.youtube.com/watch?v=YYZCpJmHAqI", "Video")</f>
        <v/>
      </c>
      <c r="B3370" t="inlineStr">
        <is>
          <t>2:28</t>
        </is>
      </c>
      <c r="C3370" t="inlineStr">
        <is>
          <t>The sight of Achilles alone, he argued,
would drive the Trojans back.</t>
        </is>
      </c>
      <c r="D3370">
        <f>HYPERLINK("https://www.youtube.com/watch?v=YYZCpJmHAqI&amp;t=148s", "Go to time")</f>
        <v/>
      </c>
    </row>
    <row r="3371">
      <c r="A3371">
        <f>HYPERLINK("https://www.youtube.com/watch?v=itEXhxjOPjk", "Video")</f>
        <v/>
      </c>
      <c r="B3371" t="inlineStr">
        <is>
          <t>1:00</t>
        </is>
      </c>
      <c r="C3371" t="inlineStr">
        <is>
          <t>which drives the development 
and maintenance</t>
        </is>
      </c>
      <c r="D3371">
        <f>HYPERLINK("https://www.youtube.com/watch?v=itEXhxjOPjk&amp;t=60s", "Go to time")</f>
        <v/>
      </c>
    </row>
    <row r="3372">
      <c r="A3372">
        <f>HYPERLINK("https://www.youtube.com/watch?v=itEXhxjOPjk", "Video")</f>
        <v/>
      </c>
      <c r="B3372" t="inlineStr">
        <is>
          <t>1:43</t>
        </is>
      </c>
      <c r="C3372" t="inlineStr">
        <is>
          <t>a signaling molecule that drives 
the breakdown of substances</t>
        </is>
      </c>
      <c r="D3372">
        <f>HYPERLINK("https://www.youtube.com/watch?v=itEXhxjOPjk&amp;t=103s", "Go to time")</f>
        <v/>
      </c>
    </row>
    <row r="3373">
      <c r="A3373">
        <f>HYPERLINK("https://www.youtube.com/watch?v=yhYU4ZbLmmk", "Video")</f>
        <v/>
      </c>
      <c r="B3373" t="inlineStr">
        <is>
          <t>2:19</t>
        </is>
      </c>
      <c r="C3373" t="inlineStr">
        <is>
          <t>the sadistic slave drivers 
of House Harkonnen.</t>
        </is>
      </c>
      <c r="D3373">
        <f>HYPERLINK("https://www.youtube.com/watch?v=yhYU4ZbLmmk&amp;t=139s", "Go to time")</f>
        <v/>
      </c>
    </row>
    <row r="3374">
      <c r="A3374">
        <f>HYPERLINK("https://www.youtube.com/watch?v=s9e6b-csA1Y", "Video")</f>
        <v/>
      </c>
      <c r="B3374" t="inlineStr">
        <is>
          <t>9:34</t>
        </is>
      </c>
      <c r="C3374" t="inlineStr">
        <is>
          <t>dad would drive me on Saturdays to a</t>
        </is>
      </c>
      <c r="D3374">
        <f>HYPERLINK("https://www.youtube.com/watch?v=s9e6b-csA1Y&amp;t=574s", "Go to time")</f>
        <v/>
      </c>
    </row>
    <row r="3375">
      <c r="A3375">
        <f>HYPERLINK("https://www.youtube.com/watch?v=s9e6b-csA1Y", "Video")</f>
        <v/>
      </c>
      <c r="B3375" t="inlineStr">
        <is>
          <t>14:34</t>
        </is>
      </c>
      <c r="C3375" t="inlineStr">
        <is>
          <t>to force that savings habit it drives me</t>
        </is>
      </c>
      <c r="D3375">
        <f>HYPERLINK("https://www.youtube.com/watch?v=s9e6b-csA1Y&amp;t=874s", "Go to time")</f>
        <v/>
      </c>
    </row>
    <row r="3376">
      <c r="A3376">
        <f>HYPERLINK("https://www.youtube.com/watch?v=gDkJ-ry6aSk", "Video")</f>
        <v/>
      </c>
      <c r="B3376" t="inlineStr">
        <is>
          <t>8:38</t>
        </is>
      </c>
      <c r="C3376" t="inlineStr">
        <is>
          <t>drive velcro</t>
        </is>
      </c>
      <c r="D3376">
        <f>HYPERLINK("https://www.youtube.com/watch?v=gDkJ-ry6aSk&amp;t=518s", "Go to time")</f>
        <v/>
      </c>
    </row>
    <row r="3377">
      <c r="A3377">
        <f>HYPERLINK("https://www.youtube.com/watch?v=H7i9Anh0_Dg", "Video")</f>
        <v/>
      </c>
      <c r="B3377" t="inlineStr">
        <is>
          <t>0:34</t>
        </is>
      </c>
      <c r="C3377" t="inlineStr">
        <is>
          <t>called “gene drives” that could
theoretically do just that.</t>
        </is>
      </c>
      <c r="D3377">
        <f>HYPERLINK("https://www.youtube.com/watch?v=H7i9Anh0_Dg&amp;t=34s", "Go to time")</f>
        <v/>
      </c>
    </row>
    <row r="3378">
      <c r="A3378">
        <f>HYPERLINK("https://www.youtube.com/watch?v=H7i9Anh0_Dg", "Video")</f>
        <v/>
      </c>
      <c r="B3378" t="inlineStr">
        <is>
          <t>0:59</t>
        </is>
      </c>
      <c r="C3378" t="inlineStr">
        <is>
          <t>But gene drives thwart this process
and ensure they're passed on.</t>
        </is>
      </c>
      <c r="D3378">
        <f>HYPERLINK("https://www.youtube.com/watch?v=H7i9Anh0_Dg&amp;t=59s", "Go to time")</f>
        <v/>
      </c>
    </row>
    <row r="3379">
      <c r="A3379">
        <f>HYPERLINK("https://www.youtube.com/watch?v=H7i9Anh0_Dg", "Video")</f>
        <v/>
      </c>
      <c r="B3379" t="inlineStr">
        <is>
          <t>1:04</t>
        </is>
      </c>
      <c r="C3379" t="inlineStr">
        <is>
          <t>Gene drives are found in nature but,</t>
        </is>
      </c>
      <c r="D3379">
        <f>HYPERLINK("https://www.youtube.com/watch?v=H7i9Anh0_Dg&amp;t=64s", "Go to time")</f>
        <v/>
      </c>
    </row>
    <row r="3380">
      <c r="A3380">
        <f>HYPERLINK("https://www.youtube.com/watch?v=H7i9Anh0_Dg", "Video")</f>
        <v/>
      </c>
      <c r="B3380" t="inlineStr">
        <is>
          <t>1:16</t>
        </is>
      </c>
      <c r="C3380" t="inlineStr">
        <is>
          <t>researchers injected a gene drive
into mosquito eggs</t>
        </is>
      </c>
      <c r="D3380">
        <f>HYPERLINK("https://www.youtube.com/watch?v=H7i9Anh0_Dg&amp;t=76s", "Go to time")</f>
        <v/>
      </c>
    </row>
    <row r="3381">
      <c r="A3381">
        <f>HYPERLINK("https://www.youtube.com/watch?v=H7i9Anh0_Dg", "Video")</f>
        <v/>
      </c>
      <c r="B3381" t="inlineStr">
        <is>
          <t>1:30</t>
        </is>
      </c>
      <c r="C3381" t="inlineStr">
        <is>
          <t>The modified mosquitoes passed the 
gene drive onto some of their offspring.</t>
        </is>
      </c>
      <c r="D3381">
        <f>HYPERLINK("https://www.youtube.com/watch?v=H7i9Anh0_Dg&amp;t=90s", "Go to time")</f>
        <v/>
      </c>
    </row>
    <row r="3382">
      <c r="A3382">
        <f>HYPERLINK("https://www.youtube.com/watch?v=H7i9Anh0_Dg", "Video")</f>
        <v/>
      </c>
      <c r="B3382" t="inlineStr">
        <is>
          <t>1:35</t>
        </is>
      </c>
      <c r="C3382" t="inlineStr">
        <is>
          <t>The gene drive, which they inherited
on one chromosome,</t>
        </is>
      </c>
      <c r="D3382">
        <f>HYPERLINK("https://www.youtube.com/watch?v=H7i9Anh0_Dg&amp;t=95s", "Go to time")</f>
        <v/>
      </c>
    </row>
    <row r="3383">
      <c r="A3383">
        <f>HYPERLINK("https://www.youtube.com/watch?v=H7i9Anh0_Dg", "Video")</f>
        <v/>
      </c>
      <c r="B3383" t="inlineStr">
        <is>
          <t>1:55</t>
        </is>
      </c>
      <c r="C3383" t="inlineStr">
        <is>
          <t>spreading the gene drive.</t>
        </is>
      </c>
      <c r="D3383">
        <f>HYPERLINK("https://www.youtube.com/watch?v=H7i9Anh0_Dg&amp;t=115s", "Go to time")</f>
        <v/>
      </c>
    </row>
    <row r="3384">
      <c r="A3384">
        <f>HYPERLINK("https://www.youtube.com/watch?v=H7i9Anh0_Dg", "Video")</f>
        <v/>
      </c>
      <c r="B3384" t="inlineStr">
        <is>
          <t>2:20</t>
        </is>
      </c>
      <c r="C3384" t="inlineStr">
        <is>
          <t>with a gene drive that made
populations male-only.</t>
        </is>
      </c>
      <c r="D3384">
        <f>HYPERLINK("https://www.youtube.com/watch?v=H7i9Anh0_Dg&amp;t=140s", "Go to time")</f>
        <v/>
      </c>
    </row>
    <row r="3385">
      <c r="A3385">
        <f>HYPERLINK("https://www.youtube.com/watch?v=H7i9Anh0_Dg", "Video")</f>
        <v/>
      </c>
      <c r="B3385" t="inlineStr">
        <is>
          <t>2:24</t>
        </is>
      </c>
      <c r="C3385" t="inlineStr">
        <is>
          <t>Gene drives have proven
powerful in the lab.</t>
        </is>
      </c>
      <c r="D3385">
        <f>HYPERLINK("https://www.youtube.com/watch?v=H7i9Anh0_Dg&amp;t=144s", "Go to time")</f>
        <v/>
      </c>
    </row>
    <row r="3386">
      <c r="A3386">
        <f>HYPERLINK("https://www.youtube.com/watch?v=H7i9Anh0_Dg", "Video")</f>
        <v/>
      </c>
      <c r="B3386" t="inlineStr">
        <is>
          <t>3:03</t>
        </is>
      </c>
      <c r="C3386" t="inlineStr">
        <is>
          <t>many see promise in gene drives.</t>
        </is>
      </c>
      <c r="D3386">
        <f>HYPERLINK("https://www.youtube.com/watch?v=H7i9Anh0_Dg&amp;t=183s", "Go to time")</f>
        <v/>
      </c>
    </row>
    <row r="3387">
      <c r="A3387">
        <f>HYPERLINK("https://www.youtube.com/watch?v=H7i9Anh0_Dg", "Video")</f>
        <v/>
      </c>
      <c r="B3387" t="inlineStr">
        <is>
          <t>3:24</t>
        </is>
      </c>
      <c r="C3387" t="inlineStr">
        <is>
          <t>The idea is that, 
when a gene-drive-affected population</t>
        </is>
      </c>
      <c r="D3387">
        <f>HYPERLINK("https://www.youtube.com/watch?v=H7i9Anh0_Dg&amp;t=204s", "Go to time")</f>
        <v/>
      </c>
    </row>
    <row r="3388">
      <c r="A3388">
        <f>HYPERLINK("https://www.youtube.com/watch?v=H7i9Anh0_Dg", "Video")</f>
        <v/>
      </c>
      <c r="B3388" t="inlineStr">
        <is>
          <t>3:33</t>
        </is>
      </c>
      <c r="C3388" t="inlineStr">
        <is>
          <t>But before gene drive mosquitoes are
actually released into the wild,</t>
        </is>
      </c>
      <c r="D3388">
        <f>HYPERLINK("https://www.youtube.com/watch?v=H7i9Anh0_Dg&amp;t=213s", "Go to time")</f>
        <v/>
      </c>
    </row>
    <row r="3389">
      <c r="A3389">
        <f>HYPERLINK("https://www.youtube.com/watch?v=H7i9Anh0_Dg", "Video")</f>
        <v/>
      </c>
      <c r="B3389" t="inlineStr">
        <is>
          <t>3:39</t>
        </is>
      </c>
      <c r="C3389" t="inlineStr">
        <is>
          <t>Like, could gene drives cross into and
cause the collapse of non-target species?</t>
        </is>
      </c>
      <c r="D3389">
        <f>HYPERLINK("https://www.youtube.com/watch?v=H7i9Anh0_Dg&amp;t=219s", "Go to time")</f>
        <v/>
      </c>
    </row>
    <row r="3390">
      <c r="A3390">
        <f>HYPERLINK("https://www.youtube.com/watch?v=H7i9Anh0_Dg", "Video")</f>
        <v/>
      </c>
      <c r="B3390" t="inlineStr">
        <is>
          <t>4:20</t>
        </is>
      </c>
      <c r="C3390" t="inlineStr">
        <is>
          <t>like gene drives that instead 
make mosquitoes resistant</t>
        </is>
      </c>
      <c r="D3390">
        <f>HYPERLINK("https://www.youtube.com/watch?v=H7i9Anh0_Dg&amp;t=260s", "Go to time")</f>
        <v/>
      </c>
    </row>
    <row r="3391">
      <c r="A3391">
        <f>HYPERLINK("https://www.youtube.com/watch?v=H7i9Anh0_Dg", "Video")</f>
        <v/>
      </c>
      <c r="B3391" t="inlineStr">
        <is>
          <t>4:28</t>
        </is>
      </c>
      <c r="C3391" t="inlineStr">
        <is>
          <t>the effects of gene drives if needed.</t>
        </is>
      </c>
      <c r="D3391">
        <f>HYPERLINK("https://www.youtube.com/watch?v=H7i9Anh0_Dg&amp;t=268s", "Go to time")</f>
        <v/>
      </c>
    </row>
    <row r="3392">
      <c r="A3392">
        <f>HYPERLINK("https://www.youtube.com/watch?v=H7i9Anh0_Dg", "Video")</f>
        <v/>
      </c>
      <c r="B3392" t="inlineStr">
        <is>
          <t>4:31</t>
        </is>
      </c>
      <c r="C3392" t="inlineStr">
        <is>
          <t>Meanwhile, some people have called
for gene drive research to halt</t>
        </is>
      </c>
      <c r="D3392">
        <f>HYPERLINK("https://www.youtube.com/watch?v=H7i9Anh0_Dg&amp;t=271s", "Go to time")</f>
        <v/>
      </c>
    </row>
    <row r="3393">
      <c r="A3393">
        <f>HYPERLINK("https://www.youtube.com/watch?v=H7i9Anh0_Dg", "Video")</f>
        <v/>
      </c>
      <c r="B3393" t="inlineStr">
        <is>
          <t>4:38</t>
        </is>
      </c>
      <c r="C3393" t="inlineStr">
        <is>
          <t>This raises another question: who should
decide whether to release gene drives?</t>
        </is>
      </c>
      <c r="D3393">
        <f>HYPERLINK("https://www.youtube.com/watch?v=H7i9Anh0_Dg&amp;t=278s", "Go to time")</f>
        <v/>
      </c>
    </row>
    <row r="3394">
      <c r="A3394">
        <f>HYPERLINK("https://www.youtube.com/watch?v=-EG6rqA2vvA", "Video")</f>
        <v/>
      </c>
      <c r="B3394" t="inlineStr">
        <is>
          <t>0:15</t>
        </is>
      </c>
      <c r="C3394" t="inlineStr">
        <is>
          <t>Typically relying on gas-powered boilers, 
these could drive as far as you wanted—</t>
        </is>
      </c>
      <c r="D3394">
        <f>HYPERLINK("https://www.youtube.com/watch?v=-EG6rqA2vvA&amp;t=15s", "Go to time")</f>
        <v/>
      </c>
    </row>
    <row r="3395">
      <c r="A3395">
        <f>HYPERLINK("https://www.youtube.com/watch?v=-EG6rqA2vvA", "Video")</f>
        <v/>
      </c>
      <c r="B3395" t="inlineStr">
        <is>
          <t>4:19</t>
        </is>
      </c>
      <c r="C3395" t="inlineStr">
        <is>
          <t>they reliably save their drivers money
in the long run.</t>
        </is>
      </c>
      <c r="D3395">
        <f>HYPERLINK("https://www.youtube.com/watch?v=-EG6rqA2vvA&amp;t=259s", "Go to time")</f>
        <v/>
      </c>
    </row>
    <row r="3396">
      <c r="A3396">
        <f>HYPERLINK("https://www.youtube.com/watch?v=UNdD5Kxdkpg", "Video")</f>
        <v/>
      </c>
      <c r="B3396" t="inlineStr">
        <is>
          <t>10:43</t>
        </is>
      </c>
      <c r="C3396" t="inlineStr">
        <is>
          <t>all-wheel drive a Mythic combination of</t>
        </is>
      </c>
      <c r="D3396">
        <f>HYPERLINK("https://www.youtube.com/watch?v=UNdD5Kxdkpg&amp;t=643s", "Go to time")</f>
        <v/>
      </c>
    </row>
    <row r="3397">
      <c r="A3397">
        <f>HYPERLINK("https://www.youtube.com/watch?v=UNdD5Kxdkpg", "Video")</f>
        <v/>
      </c>
      <c r="B3397" t="inlineStr">
        <is>
          <t>10:45</t>
        </is>
      </c>
      <c r="C3397" t="inlineStr">
        <is>
          <t>beauty and beast mitubishi driven to</t>
        </is>
      </c>
      <c r="D3397">
        <f>HYPERLINK("https://www.youtube.com/watch?v=UNdD5Kxdkpg&amp;t=645s", "Go to time")</f>
        <v/>
      </c>
    </row>
    <row r="3398">
      <c r="A3398">
        <f>HYPERLINK("https://www.youtube.com/watch?v=9OVtk6G2TnQ", "Video")</f>
        <v/>
      </c>
      <c r="B3398" t="inlineStr">
        <is>
          <t>2:59</t>
        </is>
      </c>
      <c r="C3398" t="inlineStr">
        <is>
          <t>that drives the reaction 
to regenerate the metal,</t>
        </is>
      </c>
      <c r="D3398">
        <f>HYPERLINK("https://www.youtube.com/watch?v=9OVtk6G2TnQ&amp;t=179s", "Go to time")</f>
        <v/>
      </c>
    </row>
    <row r="3399">
      <c r="A3399">
        <f>HYPERLINK("https://www.youtube.com/watch?v=vc8UBSp1tz0", "Video")</f>
        <v/>
      </c>
      <c r="B3399" t="inlineStr">
        <is>
          <t>2:54</t>
        </is>
      </c>
      <c r="C3399" t="inlineStr">
        <is>
          <t>This drives off impurities,</t>
        </is>
      </c>
      <c r="D3399">
        <f>HYPERLINK("https://www.youtube.com/watch?v=vc8UBSp1tz0&amp;t=174s", "Go to time")</f>
        <v/>
      </c>
    </row>
    <row r="3400">
      <c r="A3400">
        <f>HYPERLINK("https://www.youtube.com/watch?v=doy2BsHc-44", "Video")</f>
        <v/>
      </c>
      <c r="B3400" t="inlineStr">
        <is>
          <t>2:00</t>
        </is>
      </c>
      <c r="C3400" t="inlineStr">
        <is>
          <t>on account of the Sun providing
more heat to drive storms.</t>
        </is>
      </c>
      <c r="D3400">
        <f>HYPERLINK("https://www.youtube.com/watch?v=doy2BsHc-44&amp;t=120s", "Go to time")</f>
        <v/>
      </c>
    </row>
    <row r="3401">
      <c r="A3401">
        <f>HYPERLINK("https://www.youtube.com/watch?v=yVPeuvFn_lY", "Video")</f>
        <v/>
      </c>
      <c r="B3401" t="inlineStr">
        <is>
          <t>7:21</t>
        </is>
      </c>
      <c r="C3401" t="inlineStr">
        <is>
          <t>choice because they were driven to do</t>
        </is>
      </c>
      <c r="D3401">
        <f>HYPERLINK("https://www.youtube.com/watch?v=yVPeuvFn_lY&amp;t=441s", "Go to time")</f>
        <v/>
      </c>
    </row>
    <row r="3402">
      <c r="A3402">
        <f>HYPERLINK("https://www.youtube.com/watch?v=IxndOd3kmSs", "Video")</f>
        <v/>
      </c>
      <c r="B3402" t="inlineStr">
        <is>
          <t>0:43</t>
        </is>
      </c>
      <c r="C3402" t="inlineStr">
        <is>
          <t>which is the process that drives
all the biochemical reactions</t>
        </is>
      </c>
      <c r="D3402">
        <f>HYPERLINK("https://www.youtube.com/watch?v=IxndOd3kmSs&amp;t=43s", "Go to time")</f>
        <v/>
      </c>
    </row>
    <row r="3403">
      <c r="A3403">
        <f>HYPERLINK("https://www.youtube.com/watch?v=pOLmD_WVY-E", "Video")</f>
        <v/>
      </c>
      <c r="B3403" t="inlineStr">
        <is>
          <t>1:21</t>
        </is>
      </c>
      <c r="C3403" t="inlineStr">
        <is>
          <t>In another study, 88% of American drivers</t>
        </is>
      </c>
      <c r="D3403">
        <f>HYPERLINK("https://www.youtube.com/watch?v=pOLmD_WVY-E&amp;t=81s", "Go to time")</f>
        <v/>
      </c>
    </row>
    <row r="3404">
      <c r="A3404">
        <f>HYPERLINK("https://www.youtube.com/watch?v=0l5ftgEQUjM", "Video")</f>
        <v/>
      </c>
      <c r="B3404" t="inlineStr">
        <is>
          <t>1:58</t>
        </is>
      </c>
      <c r="C3404" t="inlineStr">
        <is>
          <t>So even if you were to drive her 
into a corner, she’d escape it easily.</t>
        </is>
      </c>
      <c r="D3404">
        <f>HYPERLINK("https://www.youtube.com/watch?v=0l5ftgEQUjM&amp;t=118s", "Go to time")</f>
        <v/>
      </c>
    </row>
    <row r="3405">
      <c r="A3405">
        <f>HYPERLINK("https://www.youtube.com/watch?v=E0W1ZZYIV8o", "Video")</f>
        <v/>
      </c>
      <c r="B3405" t="inlineStr">
        <is>
          <t>13:26</t>
        </is>
      </c>
      <c r="C3405" t="inlineStr">
        <is>
          <t>long as you drive it at 15 m per hour in</t>
        </is>
      </c>
      <c r="D3405">
        <f>HYPERLINK("https://www.youtube.com/watch?v=E0W1ZZYIV8o&amp;t=806s", "Go to time")</f>
        <v/>
      </c>
    </row>
    <row r="3406">
      <c r="A3406">
        <f>HYPERLINK("https://www.youtube.com/watch?v=E0W1ZZYIV8o", "Video")</f>
        <v/>
      </c>
      <c r="B3406" t="inlineStr">
        <is>
          <t>14:10</t>
        </is>
      </c>
      <c r="C3406" t="inlineStr">
        <is>
          <t>heating is driven by the things you can</t>
        </is>
      </c>
      <c r="D3406">
        <f>HYPERLINK("https://www.youtube.com/watch?v=E0W1ZZYIV8o&amp;t=850s", "Go to time")</f>
        <v/>
      </c>
    </row>
    <row r="3407">
      <c r="A3407">
        <f>HYPERLINK("https://www.youtube.com/watch?v=AXR-etStvCI", "Video")</f>
        <v/>
      </c>
      <c r="B3407" t="inlineStr">
        <is>
          <t>1:32</t>
        </is>
      </c>
      <c r="C3407" t="inlineStr">
        <is>
          <t>These fluctuations are driven by the 
continuous creation and destruction</t>
        </is>
      </c>
      <c r="D3407">
        <f>HYPERLINK("https://www.youtube.com/watch?v=AXR-etStvCI&amp;t=92s", "Go to time")</f>
        <v/>
      </c>
    </row>
    <row r="3408">
      <c r="A3408">
        <f>HYPERLINK("https://www.youtube.com/watch?v=DcdufLc3QSA", "Video")</f>
        <v/>
      </c>
      <c r="B3408" t="inlineStr">
        <is>
          <t>4:16</t>
        </is>
      </c>
      <c r="C3408" t="inlineStr">
        <is>
          <t>Namely, a relentless drive for economic
and technological development</t>
        </is>
      </c>
      <c r="D3408">
        <f>HYPERLINK("https://www.youtube.com/watch?v=DcdufLc3QSA&amp;t=256s", "Go to time")</f>
        <v/>
      </c>
    </row>
    <row r="3409">
      <c r="A3409">
        <f>HYPERLINK("https://www.youtube.com/watch?v=aeQu6qWa_LM", "Video")</f>
        <v/>
      </c>
      <c r="B3409" t="inlineStr">
        <is>
          <t>2:22</t>
        </is>
      </c>
      <c r="C3409" t="inlineStr">
        <is>
          <t>it supposed to be drive safely</t>
        </is>
      </c>
      <c r="D3409">
        <f>HYPERLINK("https://www.youtube.com/watch?v=aeQu6qWa_LM&amp;t=142s", "Go to time")</f>
        <v/>
      </c>
    </row>
    <row r="3410">
      <c r="A3410">
        <f>HYPERLINK("https://www.youtube.com/watch?v=C4mtt7jltJk", "Video")</f>
        <v/>
      </c>
      <c r="B3410" t="inlineStr">
        <is>
          <t>10:20</t>
        </is>
      </c>
      <c r="C3410" t="inlineStr">
        <is>
          <t>drive oh yeah you really shouldn't</t>
        </is>
      </c>
      <c r="D3410">
        <f>HYPERLINK("https://www.youtube.com/watch?v=C4mtt7jltJk&amp;t=620s", "Go to time")</f>
        <v/>
      </c>
    </row>
    <row r="3411">
      <c r="A3411">
        <f>HYPERLINK("https://www.youtube.com/watch?v=2n2oT44oIZI", "Video")</f>
        <v/>
      </c>
      <c r="B3411" t="inlineStr">
        <is>
          <t>21:16</t>
        </is>
      </c>
      <c r="C3411" t="inlineStr">
        <is>
          <t>just stop doing it you're going to drive</t>
        </is>
      </c>
      <c r="D3411">
        <f>HYPERLINK("https://www.youtube.com/watch?v=2n2oT44oIZI&amp;t=1276s", "Go to time")</f>
        <v/>
      </c>
    </row>
    <row r="3412">
      <c r="A3412">
        <f>HYPERLINK("https://www.youtube.com/watch?v=2n2oT44oIZI", "Video")</f>
        <v/>
      </c>
      <c r="B3412" t="inlineStr">
        <is>
          <t>35:29</t>
        </is>
      </c>
      <c r="C3412" t="inlineStr">
        <is>
          <t>to drive into a lake and I did it I did</t>
        </is>
      </c>
      <c r="D3412">
        <f>HYPERLINK("https://www.youtube.com/watch?v=2n2oT44oIZI&amp;t=2129s", "Go to time")</f>
        <v/>
      </c>
    </row>
    <row r="3413">
      <c r="A3413">
        <f>HYPERLINK("https://www.youtube.com/watch?v=2n2oT44oIZI", "Video")</f>
        <v/>
      </c>
      <c r="B3413" t="inlineStr">
        <is>
          <t>41:58</t>
        </is>
      </c>
      <c r="C3413" t="inlineStr">
        <is>
          <t>how's the drive fantastic Stanley Drive</t>
        </is>
      </c>
      <c r="D3413">
        <f>HYPERLINK("https://www.youtube.com/watch?v=2n2oT44oIZI&amp;t=2518s", "Go to time")</f>
        <v/>
      </c>
    </row>
    <row r="3414">
      <c r="A3414">
        <f>HYPERLINK("https://www.youtube.com/watch?v=2n2oT44oIZI", "Video")</f>
        <v/>
      </c>
      <c r="B3414" t="inlineStr">
        <is>
          <t>42:00</t>
        </is>
      </c>
      <c r="C3414" t="inlineStr">
        <is>
          <t>so fast life is short drive fast leave a</t>
        </is>
      </c>
      <c r="D3414">
        <f>HYPERLINK("https://www.youtube.com/watch?v=2n2oT44oIZI&amp;t=2520s", "Go to time")</f>
        <v/>
      </c>
    </row>
    <row r="3415">
      <c r="A3415">
        <f>HYPERLINK("https://www.youtube.com/watch?v=5pvL2YiFJsQ", "Video")</f>
        <v/>
      </c>
      <c r="B3415" t="inlineStr">
        <is>
          <t>21:19</t>
        </is>
      </c>
      <c r="C3415" t="inlineStr">
        <is>
          <t>undercover if we can get him to drive to</t>
        </is>
      </c>
      <c r="D3415">
        <f>HYPERLINK("https://www.youtube.com/watch?v=5pvL2YiFJsQ&amp;t=1279s", "Go to time")</f>
        <v/>
      </c>
    </row>
    <row r="3416">
      <c r="A3416">
        <f>HYPERLINK("https://www.youtube.com/watch?v=AjxHnKdi50w", "Video")</f>
        <v/>
      </c>
      <c r="B3416" t="inlineStr">
        <is>
          <t>10:17</t>
        </is>
      </c>
      <c r="C3416" t="inlineStr">
        <is>
          <t>oh okay that's great no I can't drive</t>
        </is>
      </c>
      <c r="D3416">
        <f>HYPERLINK("https://www.youtube.com/watch?v=AjxHnKdi50w&amp;t=617s", "Go to time")</f>
        <v/>
      </c>
    </row>
    <row r="3417">
      <c r="A3417">
        <f>HYPERLINK("https://www.youtube.com/watch?v=AjxHnKdi50w", "Video")</f>
        <v/>
      </c>
      <c r="B3417" t="inlineStr">
        <is>
          <t>10:20</t>
        </is>
      </c>
      <c r="C3417" t="inlineStr">
        <is>
          <t>Jim why don't you drive fine we'll go</t>
        </is>
      </c>
      <c r="D3417">
        <f>HYPERLINK("https://www.youtube.com/watch?v=AjxHnKdi50w&amp;t=620s", "Go to time")</f>
        <v/>
      </c>
    </row>
    <row r="3418">
      <c r="A3418">
        <f>HYPERLINK("https://www.youtube.com/watch?v=GB8e5_hmCNY", "Video")</f>
        <v/>
      </c>
      <c r="B3418" t="inlineStr">
        <is>
          <t>5:25</t>
        </is>
      </c>
      <c r="C3418" t="inlineStr">
        <is>
          <t>♪♪ I hope ya get killed
in a drive-by ♪♪</t>
        </is>
      </c>
      <c r="D3418">
        <f>HYPERLINK("https://www.youtube.com/watch?v=GB8e5_hmCNY&amp;t=325s", "Go to time")</f>
        <v/>
      </c>
    </row>
    <row r="3419">
      <c r="A3419">
        <f>HYPERLINK("https://www.youtube.com/watch?v=GB8e5_hmCNY", "Video")</f>
        <v/>
      </c>
      <c r="B3419" t="inlineStr">
        <is>
          <t>6:00</t>
        </is>
      </c>
      <c r="C3419" t="inlineStr">
        <is>
          <t>♪♪ You drive a girl wild ♪♪</t>
        </is>
      </c>
      <c r="D3419">
        <f>HYPERLINK("https://www.youtube.com/watch?v=GB8e5_hmCNY&amp;t=360s", "Go to time")</f>
        <v/>
      </c>
    </row>
    <row r="3420">
      <c r="A3420">
        <f>HYPERLINK("https://www.youtube.com/watch?v=PtwgCeKMhhY", "Video")</f>
        <v/>
      </c>
      <c r="B3420" t="inlineStr">
        <is>
          <t>4:22</t>
        </is>
      </c>
      <c r="C3420" t="inlineStr">
        <is>
          <t>how's the drive-in nobody knows how to</t>
        </is>
      </c>
      <c r="D3420">
        <f>HYPERLINK("https://www.youtube.com/watch?v=PtwgCeKMhhY&amp;t=262s", "Go to time")</f>
        <v/>
      </c>
    </row>
    <row r="3421">
      <c r="A3421">
        <f>HYPERLINK("https://www.youtube.com/watch?v=PtwgCeKMhhY", "Video")</f>
        <v/>
      </c>
      <c r="B3421" t="inlineStr">
        <is>
          <t>4:24</t>
        </is>
      </c>
      <c r="C3421" t="inlineStr">
        <is>
          <t>drive in the rain you don't say yeah you</t>
        </is>
      </c>
      <c r="D3421">
        <f>HYPERLINK("https://www.youtube.com/watch?v=PtwgCeKMhhY&amp;t=264s", "Go to time")</f>
        <v/>
      </c>
    </row>
    <row r="3422">
      <c r="A3422">
        <f>HYPERLINK("https://www.youtube.com/watch?v=g9wlrjt3vPY", "Video")</f>
        <v/>
      </c>
      <c r="B3422" t="inlineStr">
        <is>
          <t>0:18</t>
        </is>
      </c>
      <c r="C3422" t="inlineStr">
        <is>
          <t>if we can get him to drive to get out of</t>
        </is>
      </c>
      <c r="D3422">
        <f>HYPERLINK("https://www.youtube.com/watch?v=g9wlrjt3vPY&amp;t=18s", "Go to time")</f>
        <v/>
      </c>
    </row>
    <row r="3423">
      <c r="A3423">
        <f>HYPERLINK("https://www.youtube.com/watch?v=1W_GIE1shhc", "Video")</f>
        <v/>
      </c>
      <c r="B3423" t="inlineStr">
        <is>
          <t>3:55</t>
        </is>
      </c>
      <c r="C3423" t="inlineStr">
        <is>
          <t>little test drive what do you say</t>
        </is>
      </c>
      <c r="D3423">
        <f>HYPERLINK("https://www.youtube.com/watch?v=1W_GIE1shhc&amp;t=235s", "Go to time")</f>
        <v/>
      </c>
    </row>
    <row r="3424">
      <c r="A3424">
        <f>HYPERLINK("https://www.youtube.com/watch?v=tagwCS0T0pg", "Video")</f>
        <v/>
      </c>
      <c r="B3424" t="inlineStr">
        <is>
          <t>3:51</t>
        </is>
      </c>
      <c r="C3424" t="inlineStr">
        <is>
          <t>event of a crash driver always protects</t>
        </is>
      </c>
      <c r="D3424">
        <f>HYPERLINK("https://www.youtube.com/watch?v=tagwCS0T0pg&amp;t=231s", "Go to time")</f>
        <v/>
      </c>
    </row>
    <row r="3425">
      <c r="A3425">
        <f>HYPERLINK("https://www.youtube.com/watch?v=tagwCS0T0pg", "Video")</f>
        <v/>
      </c>
      <c r="B3425" t="inlineStr">
        <is>
          <t>6:33</t>
        </is>
      </c>
      <c r="C3425" t="inlineStr">
        <is>
          <t>Flea Market at the drive-in well that</t>
        </is>
      </c>
      <c r="D3425">
        <f>HYPERLINK("https://www.youtube.com/watch?v=tagwCS0T0pg&amp;t=393s", "Go to time")</f>
        <v/>
      </c>
    </row>
    <row r="3426">
      <c r="A3426">
        <f>HYPERLINK("https://www.youtube.com/watch?v=YA82OoS0JaM", "Video")</f>
        <v/>
      </c>
      <c r="B3426" t="inlineStr">
        <is>
          <t>8:49</t>
        </is>
      </c>
      <c r="C3426" t="inlineStr">
        <is>
          <t>so I am going to drive up for your</t>
        </is>
      </c>
      <c r="D3426">
        <f>HYPERLINK("https://www.youtube.com/watch?v=YA82OoS0JaM&amp;t=529s", "Go to time")</f>
        <v/>
      </c>
    </row>
    <row r="3427">
      <c r="A3427">
        <f>HYPERLINK("https://www.youtube.com/watch?v=_YTG9vTkhGs", "Video")</f>
        <v/>
      </c>
      <c r="B3427" t="inlineStr">
        <is>
          <t>1:44</t>
        </is>
      </c>
      <c r="C3427" t="inlineStr">
        <is>
          <t>You need to stop banging your pen on your desk or it's gonna drive me insane.</t>
        </is>
      </c>
      <c r="D3427">
        <f>HYPERLINK("https://www.youtube.com/watch?v=_YTG9vTkhGs&amp;t=104s", "Go to time")</f>
        <v/>
      </c>
    </row>
    <row r="3428">
      <c r="A3428">
        <f>HYPERLINK("https://www.youtube.com/watch?v=fcCJLxaA5gw", "Video")</f>
        <v/>
      </c>
      <c r="B3428" t="inlineStr">
        <is>
          <t>2:06</t>
        </is>
      </c>
      <c r="C3428" t="inlineStr">
        <is>
          <t>driver's been gone and it's not in</t>
        </is>
      </c>
      <c r="D3428">
        <f>HYPERLINK("https://www.youtube.com/watch?v=fcCJLxaA5gw&amp;t=126s", "Go to time")</f>
        <v/>
      </c>
    </row>
    <row r="3429">
      <c r="A3429">
        <f>HYPERLINK("https://www.youtube.com/watch?v=fcCJLxaA5gw", "Video")</f>
        <v/>
      </c>
      <c r="B3429" t="inlineStr">
        <is>
          <t>4:19</t>
        </is>
      </c>
      <c r="C3429" t="inlineStr">
        <is>
          <t>chocolates so how's the drive in h</t>
        </is>
      </c>
      <c r="D3429">
        <f>HYPERLINK("https://www.youtube.com/watch?v=fcCJLxaA5gw&amp;t=259s", "Go to time")</f>
        <v/>
      </c>
    </row>
    <row r="3430">
      <c r="A3430">
        <f>HYPERLINK("https://www.youtube.com/watch?v=fcCJLxaA5gw", "Video")</f>
        <v/>
      </c>
      <c r="B3430" t="inlineStr">
        <is>
          <t>4:22</t>
        </is>
      </c>
      <c r="C3430" t="inlineStr">
        <is>
          <t>nobody knows how to drive in the rain</t>
        </is>
      </c>
      <c r="D3430">
        <f>HYPERLINK("https://www.youtube.com/watch?v=fcCJLxaA5gw&amp;t=262s", "Go to time")</f>
        <v/>
      </c>
    </row>
    <row r="3431">
      <c r="A3431">
        <f>HYPERLINK("https://www.youtube.com/watch?v=fcCJLxaA5gw", "Video")</f>
        <v/>
      </c>
      <c r="B3431" t="inlineStr">
        <is>
          <t>8:16</t>
        </is>
      </c>
      <c r="C3431" t="inlineStr">
        <is>
          <t>drive down here you can make it in 30</t>
        </is>
      </c>
      <c r="D3431">
        <f>HYPERLINK("https://www.youtube.com/watch?v=fcCJLxaA5gw&amp;t=496s", "Go to time")</f>
        <v/>
      </c>
    </row>
    <row r="3432">
      <c r="A3432">
        <f>HYPERLINK("https://www.youtube.com/watch?v=fcCJLxaA5gw", "Video")</f>
        <v/>
      </c>
      <c r="B3432" t="inlineStr">
        <is>
          <t>8:18</t>
        </is>
      </c>
      <c r="C3432" t="inlineStr">
        <is>
          <t>minutes if you drive 240</t>
        </is>
      </c>
      <c r="D3432">
        <f>HYPERLINK("https://www.youtube.com/watch?v=fcCJLxaA5gw&amp;t=498s", "Go to time")</f>
        <v/>
      </c>
    </row>
    <row r="3433">
      <c r="A3433">
        <f>HYPERLINK("https://www.youtube.com/watch?v=fcCJLxaA5gw", "Video")</f>
        <v/>
      </c>
      <c r="B3433" t="inlineStr">
        <is>
          <t>33:03</t>
        </is>
      </c>
      <c r="C3433" t="inlineStr">
        <is>
          <t>on your desk or it's going to drive me</t>
        </is>
      </c>
      <c r="D3433">
        <f>HYPERLINK("https://www.youtube.com/watch?v=fcCJLxaA5gw&amp;t=1983s", "Go to time")</f>
        <v/>
      </c>
    </row>
    <row r="3434">
      <c r="A3434">
        <f>HYPERLINK("https://www.youtube.com/watch?v=fcCJLxaA5gw", "Video")</f>
        <v/>
      </c>
      <c r="B3434" t="inlineStr">
        <is>
          <t>44:02</t>
        </is>
      </c>
      <c r="C3434" t="inlineStr">
        <is>
          <t>getting their driver's license why don't</t>
        </is>
      </c>
      <c r="D3434">
        <f>HYPERLINK("https://www.youtube.com/watch?v=fcCJLxaA5gw&amp;t=2642s", "Go to time")</f>
        <v/>
      </c>
    </row>
    <row r="3435">
      <c r="A3435">
        <f>HYPERLINK("https://www.youtube.com/watch?v=Yp-Gm-Xb7Ck", "Video")</f>
        <v/>
      </c>
      <c r="B3435" t="inlineStr">
        <is>
          <t>0:21</t>
        </is>
      </c>
      <c r="C3435" t="inlineStr">
        <is>
          <t>wouldn't be able to make the drive to</t>
        </is>
      </c>
      <c r="D3435">
        <f>HYPERLINK("https://www.youtube.com/watch?v=Yp-Gm-Xb7Ck&amp;t=21s", "Go to time")</f>
        <v/>
      </c>
    </row>
    <row r="3436">
      <c r="A3436">
        <f>HYPERLINK("https://www.youtube.com/watch?v=Yp-Gm-Xb7Ck", "Video")</f>
        <v/>
      </c>
      <c r="B3436" t="inlineStr">
        <is>
          <t>6:52</t>
        </is>
      </c>
      <c r="C3436" t="inlineStr">
        <is>
          <t>drive them in</t>
        </is>
      </c>
      <c r="D3436">
        <f>HYPERLINK("https://www.youtube.com/watch?v=Yp-Gm-Xb7Ck&amp;t=412s", "Go to time")</f>
        <v/>
      </c>
    </row>
    <row r="3437">
      <c r="A3437">
        <f>HYPERLINK("https://www.youtube.com/watch?v=Yp-Gm-Xb7Ck", "Video")</f>
        <v/>
      </c>
      <c r="B3437" t="inlineStr">
        <is>
          <t>6:57</t>
        </is>
      </c>
      <c r="C3437" t="inlineStr">
        <is>
          <t>I I drive a smart car that's not not</t>
        </is>
      </c>
      <c r="D3437">
        <f>HYPERLINK("https://www.youtube.com/watch?v=Yp-Gm-Xb7Ck&amp;t=417s", "Go to time")</f>
        <v/>
      </c>
    </row>
    <row r="3438">
      <c r="A3438">
        <f>HYPERLINK("https://www.youtube.com/watch?v=Yp-Gm-Xb7Ck", "Video")</f>
        <v/>
      </c>
      <c r="B3438" t="inlineStr">
        <is>
          <t>8:03</t>
        </is>
      </c>
      <c r="C3438" t="inlineStr">
        <is>
          <t>you to teach me how to drive stick like</t>
        </is>
      </c>
      <c r="D3438">
        <f>HYPERLINK("https://www.youtube.com/watch?v=Yp-Gm-Xb7Ck&amp;t=483s", "Go to time")</f>
        <v/>
      </c>
    </row>
    <row r="3439">
      <c r="A3439">
        <f>HYPERLINK("https://www.youtube.com/watch?v=Bd_nvjvrrds", "Video")</f>
        <v/>
      </c>
      <c r="B3439" t="inlineStr">
        <is>
          <t>8:30</t>
        </is>
      </c>
      <c r="C3439" t="inlineStr">
        <is>
          <t>their driver's license why don't we just</t>
        </is>
      </c>
      <c r="D3439">
        <f>HYPERLINK("https://www.youtube.com/watch?v=Bd_nvjvrrds&amp;t=510s", "Go to time")</f>
        <v/>
      </c>
    </row>
    <row r="3440">
      <c r="A3440">
        <f>HYPERLINK("https://www.youtube.com/watch?v=caR28rdUkAY", "Video")</f>
        <v/>
      </c>
      <c r="B3440" t="inlineStr">
        <is>
          <t>1:22</t>
        </is>
      </c>
      <c r="C3440" t="inlineStr">
        <is>
          <t>i'll drive my resolution is to read more</t>
        </is>
      </c>
      <c r="D3440">
        <f>HYPERLINK("https://www.youtube.com/watch?v=caR28rdUkAY&amp;t=82s", "Go to time")</f>
        <v/>
      </c>
    </row>
    <row r="3441">
      <c r="A3441">
        <f>HYPERLINK("https://www.youtube.com/watch?v=zJdByIACzTc", "Video")</f>
        <v/>
      </c>
      <c r="B3441" t="inlineStr">
        <is>
          <t>1:56</t>
        </is>
      </c>
      <c r="C3441" t="inlineStr">
        <is>
          <t>drive all the way back</t>
        </is>
      </c>
      <c r="D3441">
        <f>HYPERLINK("https://www.youtube.com/watch?v=zJdByIACzTc&amp;t=116s", "Go to time")</f>
        <v/>
      </c>
    </row>
    <row r="3442">
      <c r="A3442">
        <f>HYPERLINK("https://www.youtube.com/watch?v=zJdByIACzTc", "Video")</f>
        <v/>
      </c>
      <c r="B3442" t="inlineStr">
        <is>
          <t>14:08</t>
        </is>
      </c>
      <c r="C3442" t="inlineStr">
        <is>
          <t>says well I'm an astronaut so I drive a</t>
        </is>
      </c>
      <c r="D3442">
        <f>HYPERLINK("https://www.youtube.com/watch?v=zJdByIACzTc&amp;t=848s", "Go to time")</f>
        <v/>
      </c>
    </row>
    <row r="3443">
      <c r="A3443">
        <f>HYPERLINK("https://www.youtube.com/watch?v=zJdByIACzTc", "Video")</f>
        <v/>
      </c>
      <c r="B3443" t="inlineStr">
        <is>
          <t>14:14</t>
        </is>
      </c>
      <c r="C3443" t="inlineStr">
        <is>
          <t>a pimp so I drive a cheap escort and the</t>
        </is>
      </c>
      <c r="D3443">
        <f>HYPERLINK("https://www.youtube.com/watch?v=zJdByIACzTc&amp;t=854s", "Go to time")</f>
        <v/>
      </c>
    </row>
    <row r="3444">
      <c r="A3444">
        <f>HYPERLINK("https://www.youtube.com/watch?v=zJdByIACzTc", "Video")</f>
        <v/>
      </c>
      <c r="B3444" t="inlineStr">
        <is>
          <t>14:19</t>
        </is>
      </c>
      <c r="C3444" t="inlineStr">
        <is>
          <t>proctologist so I drive a brown probe</t>
        </is>
      </c>
      <c r="D3444">
        <f>HYPERLINK("https://www.youtube.com/watch?v=zJdByIACzTc&amp;t=859s", "Go to time")</f>
        <v/>
      </c>
    </row>
    <row r="3445">
      <c r="A3445">
        <f>HYPERLINK("https://www.youtube.com/watch?v=nu6RSX7euSE", "Video")</f>
        <v/>
      </c>
      <c r="B3445" t="inlineStr">
        <is>
          <t>8:33</t>
        </is>
      </c>
      <c r="C3445" t="inlineStr">
        <is>
          <t>seems like you shouldn't drive maybe</t>
        </is>
      </c>
      <c r="D3445">
        <f>HYPERLINK("https://www.youtube.com/watch?v=nu6RSX7euSE&amp;t=513s", "Go to time")</f>
        <v/>
      </c>
    </row>
    <row r="3446">
      <c r="A3446">
        <f>HYPERLINK("https://www.youtube.com/watch?v=aYWhDZurjSw", "Video")</f>
        <v/>
      </c>
      <c r="B3446" t="inlineStr">
        <is>
          <t>3:27</t>
        </is>
      </c>
      <c r="C3446" t="inlineStr">
        <is>
          <t>Can deliver food I can drive a taxi I can and do cut my own hair. I did however tip my urologist</t>
        </is>
      </c>
      <c r="D3446">
        <f>HYPERLINK("https://www.youtube.com/watch?v=aYWhDZurjSw&amp;t=207s", "Go to time")</f>
        <v/>
      </c>
    </row>
    <row r="3447">
      <c r="A3447">
        <f>HYPERLINK("https://www.youtube.com/watch?v=Owqk_PVts4Y", "Video")</f>
        <v/>
      </c>
      <c r="B3447" t="inlineStr">
        <is>
          <t>1:50</t>
        </is>
      </c>
      <c r="C3447" t="inlineStr">
        <is>
          <t>sucks yeah and then they make you drive</t>
        </is>
      </c>
      <c r="D3447">
        <f>HYPERLINK("https://www.youtube.com/watch?v=Owqk_PVts4Y&amp;t=110s", "Go to time")</f>
        <v/>
      </c>
    </row>
    <row r="3448">
      <c r="A3448">
        <f>HYPERLINK("https://www.youtube.com/watch?v=wHWLqDuvrak", "Video")</f>
        <v/>
      </c>
      <c r="B3448" t="inlineStr">
        <is>
          <t>4:09</t>
        </is>
      </c>
      <c r="C3448" t="inlineStr">
        <is>
          <t>-So how was the drive in?</t>
        </is>
      </c>
      <c r="D3448">
        <f>HYPERLINK("https://www.youtube.com/watch?v=wHWLqDuvrak&amp;t=249s", "Go to time")</f>
        <v/>
      </c>
    </row>
    <row r="3449">
      <c r="A3449">
        <f>HYPERLINK("https://www.youtube.com/watch?v=wHWLqDuvrak", "Video")</f>
        <v/>
      </c>
      <c r="B3449" t="inlineStr">
        <is>
          <t>4:10</t>
        </is>
      </c>
      <c r="C3449" t="inlineStr">
        <is>
          <t>-Ah, nobody knows how to drive
in the rain.</t>
        </is>
      </c>
      <c r="D3449">
        <f>HYPERLINK("https://www.youtube.com/watch?v=wHWLqDuvrak&amp;t=250s", "Go to time")</f>
        <v/>
      </c>
    </row>
    <row r="3450">
      <c r="A3450">
        <f>HYPERLINK("https://www.youtube.com/watch?v=bJsTZIvqmes", "Video")</f>
        <v/>
      </c>
      <c r="B3450" t="inlineStr">
        <is>
          <t>6:04</t>
        </is>
      </c>
      <c r="C3450" t="inlineStr">
        <is>
          <t>to drive she drives a green camera and</t>
        </is>
      </c>
      <c r="D3450">
        <f>HYPERLINK("https://www.youtube.com/watch?v=bJsTZIvqmes&amp;t=364s", "Go to time")</f>
        <v/>
      </c>
    </row>
    <row r="3451">
      <c r="A3451">
        <f>HYPERLINK("https://www.youtube.com/watch?v=iO6-QVVMRTo", "Video")</f>
        <v/>
      </c>
      <c r="B3451" t="inlineStr">
        <is>
          <t>5:22</t>
        </is>
      </c>
      <c r="C3451" t="inlineStr">
        <is>
          <t>mint I'm looking for the toy drive box</t>
        </is>
      </c>
      <c r="D3451">
        <f>HYPERLINK("https://www.youtube.com/watch?v=iO6-QVVMRTo&amp;t=322s", "Go to time")</f>
        <v/>
      </c>
    </row>
    <row r="3452">
      <c r="A3452">
        <f>HYPERLINK("https://www.youtube.com/watch?v=iO6-QVVMRTo", "Video")</f>
        <v/>
      </c>
      <c r="B3452" t="inlineStr">
        <is>
          <t>5:43</t>
        </is>
      </c>
      <c r="C3452" t="inlineStr">
        <is>
          <t>drive but the paint's chipping is that</t>
        </is>
      </c>
      <c r="D3452">
        <f>HYPERLINK("https://www.youtube.com/watch?v=iO6-QVVMRTo&amp;t=343s", "Go to time")</f>
        <v/>
      </c>
    </row>
    <row r="3453">
      <c r="A3453">
        <f>HYPERLINK("https://www.youtube.com/watch?v=cGh9gcgub94", "Video")</f>
        <v/>
      </c>
      <c r="B3453" t="inlineStr">
        <is>
          <t>9:52</t>
        </is>
      </c>
      <c r="C3453" t="inlineStr">
        <is>
          <t>that's too small drive my daughter to a</t>
        </is>
      </c>
      <c r="D3453">
        <f>HYPERLINK("https://www.youtube.com/watch?v=cGh9gcgub94&amp;t=592s", "Go to time")</f>
        <v/>
      </c>
    </row>
    <row r="3454">
      <c r="A3454">
        <f>HYPERLINK("https://www.youtube.com/watch?v=cGh9gcgub94", "Video")</f>
        <v/>
      </c>
      <c r="B3454" t="inlineStr">
        <is>
          <t>15:04</t>
        </is>
      </c>
      <c r="C3454" t="inlineStr">
        <is>
          <t>going to drive me</t>
        </is>
      </c>
      <c r="D3454">
        <f>HYPERLINK("https://www.youtube.com/watch?v=cGh9gcgub94&amp;t=904s", "Go to time")</f>
        <v/>
      </c>
    </row>
    <row r="3455">
      <c r="A3455">
        <f>HYPERLINK("https://www.youtube.com/watch?v=cGh9gcgub94", "Video")</f>
        <v/>
      </c>
      <c r="B3455" t="inlineStr">
        <is>
          <t>26:17</t>
        </is>
      </c>
      <c r="C3455" t="inlineStr">
        <is>
          <t>was too small drive my daughter to the</t>
        </is>
      </c>
      <c r="D3455">
        <f>HYPERLINK("https://www.youtube.com/watch?v=cGh9gcgub94&amp;t=1577s", "Go to time")</f>
        <v/>
      </c>
    </row>
    <row r="3456">
      <c r="A3456">
        <f>HYPERLINK("https://www.youtube.com/watch?v=cGh9gcgub94", "Video")</f>
        <v/>
      </c>
      <c r="B3456" t="inlineStr">
        <is>
          <t>31:29</t>
        </is>
      </c>
      <c r="C3456" t="inlineStr">
        <is>
          <t>going to drive me</t>
        </is>
      </c>
      <c r="D3456">
        <f>HYPERLINK("https://www.youtube.com/watch?v=cGh9gcgub94&amp;t=1889s", "Go to time")</f>
        <v/>
      </c>
    </row>
    <row r="3457">
      <c r="A3457">
        <f>HYPERLINK("https://www.youtube.com/watch?v=cGh9gcgub94", "Video")</f>
        <v/>
      </c>
      <c r="B3457" t="inlineStr">
        <is>
          <t>42:42</t>
        </is>
      </c>
      <c r="C3457" t="inlineStr">
        <is>
          <t>to small drive my da to school is too</t>
        </is>
      </c>
      <c r="D3457">
        <f>HYPERLINK("https://www.youtube.com/watch?v=cGh9gcgub94&amp;t=2562s", "Go to time")</f>
        <v/>
      </c>
    </row>
    <row r="3458">
      <c r="A3458">
        <f>HYPERLINK("https://www.youtube.com/watch?v=cGh9gcgub94", "Video")</f>
        <v/>
      </c>
      <c r="B3458" t="inlineStr">
        <is>
          <t>47:54</t>
        </is>
      </c>
      <c r="C3458" t="inlineStr">
        <is>
          <t>going to drive me crazy</t>
        </is>
      </c>
      <c r="D3458">
        <f>HYPERLINK("https://www.youtube.com/watch?v=cGh9gcgub94&amp;t=2874s", "Go to time")</f>
        <v/>
      </c>
    </row>
    <row r="3459">
      <c r="A3459">
        <f>HYPERLINK("https://www.youtube.com/watch?v=cGh9gcgub94", "Video")</f>
        <v/>
      </c>
      <c r="B3459" t="inlineStr">
        <is>
          <t>59:06</t>
        </is>
      </c>
      <c r="C3459" t="inlineStr">
        <is>
          <t>the bed was too small drive my daughter</t>
        </is>
      </c>
      <c r="D3459">
        <f>HYPERLINK("https://www.youtube.com/watch?v=cGh9gcgub94&amp;t=3546s", "Go to time")</f>
        <v/>
      </c>
    </row>
    <row r="3460">
      <c r="A3460">
        <f>HYPERLINK("https://www.youtube.com/watch?v=cGh9gcgub94", "Video")</f>
        <v/>
      </c>
      <c r="B3460" t="inlineStr">
        <is>
          <t>64:19</t>
        </is>
      </c>
      <c r="C3460" t="inlineStr">
        <is>
          <t>going to drive me</t>
        </is>
      </c>
      <c r="D3460">
        <f>HYPERLINK("https://www.youtube.com/watch?v=cGh9gcgub94&amp;t=3859s", "Go to time")</f>
        <v/>
      </c>
    </row>
    <row r="3461">
      <c r="A3461">
        <f>HYPERLINK("https://www.youtube.com/watch?v=cGh9gcgub94", "Video")</f>
        <v/>
      </c>
      <c r="B3461" t="inlineStr">
        <is>
          <t>75:32</t>
        </is>
      </c>
      <c r="C3461" t="inlineStr">
        <is>
          <t>that's too small drive by da to school</t>
        </is>
      </c>
      <c r="D3461">
        <f>HYPERLINK("https://www.youtube.com/watch?v=cGh9gcgub94&amp;t=4532s", "Go to time")</f>
        <v/>
      </c>
    </row>
    <row r="3462">
      <c r="A3462">
        <f>HYPERLINK("https://www.youtube.com/watch?v=cGh9gcgub94", "Video")</f>
        <v/>
      </c>
      <c r="B3462" t="inlineStr">
        <is>
          <t>80:44</t>
        </is>
      </c>
      <c r="C3462" t="inlineStr">
        <is>
          <t>going to drive me</t>
        </is>
      </c>
      <c r="D3462">
        <f>HYPERLINK("https://www.youtube.com/watch?v=cGh9gcgub94&amp;t=4844s", "Go to time")</f>
        <v/>
      </c>
    </row>
    <row r="3463">
      <c r="A3463">
        <f>HYPERLINK("https://www.youtube.com/watch?v=cGh9gcgub94", "Video")</f>
        <v/>
      </c>
      <c r="B3463" t="inlineStr">
        <is>
          <t>91:57</t>
        </is>
      </c>
      <c r="C3463" t="inlineStr">
        <is>
          <t>that's too small drive by da to the</t>
        </is>
      </c>
      <c r="D3463">
        <f>HYPERLINK("https://www.youtube.com/watch?v=cGh9gcgub94&amp;t=5517s", "Go to time")</f>
        <v/>
      </c>
    </row>
    <row r="3464">
      <c r="A3464">
        <f>HYPERLINK("https://www.youtube.com/watch?v=cGh9gcgub94", "Video")</f>
        <v/>
      </c>
      <c r="B3464" t="inlineStr">
        <is>
          <t>97:09</t>
        </is>
      </c>
      <c r="C3464" t="inlineStr">
        <is>
          <t>going to drive</t>
        </is>
      </c>
      <c r="D3464">
        <f>HYPERLINK("https://www.youtube.com/watch?v=cGh9gcgub94&amp;t=5829s", "Go to time")</f>
        <v/>
      </c>
    </row>
    <row r="3465">
      <c r="A3465">
        <f>HYPERLINK("https://www.youtube.com/watch?v=cGh9gcgub94", "Video")</f>
        <v/>
      </c>
      <c r="B3465" t="inlineStr">
        <is>
          <t>108:22</t>
        </is>
      </c>
      <c r="C3465" t="inlineStr">
        <is>
          <t>too drive my daughter to the school is</t>
        </is>
      </c>
      <c r="D3465">
        <f>HYPERLINK("https://www.youtube.com/watch?v=cGh9gcgub94&amp;t=6502s", "Go to time")</f>
        <v/>
      </c>
    </row>
    <row r="3466">
      <c r="A3466">
        <f>HYPERLINK("https://www.youtube.com/watch?v=cGh9gcgub94", "Video")</f>
        <v/>
      </c>
      <c r="B3466" t="inlineStr">
        <is>
          <t>113:34</t>
        </is>
      </c>
      <c r="C3466" t="inlineStr">
        <is>
          <t>going to drive me</t>
        </is>
      </c>
      <c r="D3466">
        <f>HYPERLINK("https://www.youtube.com/watch?v=cGh9gcgub94&amp;t=6814s", "Go to time")</f>
        <v/>
      </c>
    </row>
    <row r="3467">
      <c r="A3467">
        <f>HYPERLINK("https://www.youtube.com/watch?v=mgDd9PRIt0Y", "Video")</f>
        <v/>
      </c>
      <c r="B3467" t="inlineStr">
        <is>
          <t>6:04</t>
        </is>
      </c>
      <c r="C3467" t="inlineStr">
        <is>
          <t>chocolates so how's the drive in uh</t>
        </is>
      </c>
      <c r="D3467">
        <f>HYPERLINK("https://www.youtube.com/watch?v=mgDd9PRIt0Y&amp;t=364s", "Go to time")</f>
        <v/>
      </c>
    </row>
    <row r="3468">
      <c r="A3468">
        <f>HYPERLINK("https://www.youtube.com/watch?v=mgDd9PRIt0Y", "Video")</f>
        <v/>
      </c>
      <c r="B3468" t="inlineStr">
        <is>
          <t>6:07</t>
        </is>
      </c>
      <c r="C3468" t="inlineStr">
        <is>
          <t>nobody knows how to drive in the rain it</t>
        </is>
      </c>
      <c r="D3468">
        <f>HYPERLINK("https://www.youtube.com/watch?v=mgDd9PRIt0Y&amp;t=367s", "Go to time")</f>
        <v/>
      </c>
    </row>
    <row r="3469">
      <c r="A3469">
        <f>HYPERLINK("https://www.youtube.com/watch?v=M2PbN20g09s", "Video")</f>
        <v/>
      </c>
      <c r="B3469" t="inlineStr">
        <is>
          <t>0:53</t>
        </is>
      </c>
      <c r="C3469" t="inlineStr">
        <is>
          <t>quiz Mike should you drive the forklift</t>
        </is>
      </c>
      <c r="D3469">
        <f>HYPERLINK("https://www.youtube.com/watch?v=M2PbN20g09s&amp;t=53s", "Go to time")</f>
        <v/>
      </c>
    </row>
    <row r="3470">
      <c r="A3470">
        <f>HYPERLINK("https://www.youtube.com/watch?v=UIdjERtLpRA", "Video")</f>
        <v/>
      </c>
      <c r="B3470" t="inlineStr">
        <is>
          <t>58:09</t>
        </is>
      </c>
      <c r="C3470" t="inlineStr">
        <is>
          <t>your desk or it's going to drive me</t>
        </is>
      </c>
      <c r="D3470">
        <f>HYPERLINK("https://www.youtube.com/watch?v=UIdjERtLpRA&amp;t=3489s", "Go to time")</f>
        <v/>
      </c>
    </row>
    <row r="3471">
      <c r="A3471">
        <f>HYPERLINK("https://www.youtube.com/watch?v=j8LWg42E1M4", "Video")</f>
        <v/>
      </c>
      <c r="B3471" t="inlineStr">
        <is>
          <t>12:38</t>
        </is>
      </c>
      <c r="C3471" t="inlineStr">
        <is>
          <t>that's great no I can't drive Jim why</t>
        </is>
      </c>
      <c r="D3471">
        <f>HYPERLINK("https://www.youtube.com/watch?v=j8LWg42E1M4&amp;t=758s", "Go to time")</f>
        <v/>
      </c>
    </row>
    <row r="3472">
      <c r="A3472">
        <f>HYPERLINK("https://www.youtube.com/watch?v=j8LWg42E1M4", "Video")</f>
        <v/>
      </c>
      <c r="B3472" t="inlineStr">
        <is>
          <t>12:40</t>
        </is>
      </c>
      <c r="C3472" t="inlineStr">
        <is>
          <t>don't you drive fine we'll go I'm still</t>
        </is>
      </c>
      <c r="D3472">
        <f>HYPERLINK("https://www.youtube.com/watch?v=j8LWg42E1M4&amp;t=760s", "Go to time")</f>
        <v/>
      </c>
    </row>
    <row r="3473">
      <c r="A3473">
        <f>HYPERLINK("https://www.youtube.com/watch?v=ST-653teD1U", "Video")</f>
        <v/>
      </c>
      <c r="B3473" t="inlineStr">
        <is>
          <t>1:51</t>
        </is>
      </c>
      <c r="C3473" t="inlineStr">
        <is>
          <t>flea market at the drive-in well that</t>
        </is>
      </c>
      <c r="D3473">
        <f>HYPERLINK("https://www.youtube.com/watch?v=ST-653teD1U&amp;t=111s", "Go to time")</f>
        <v/>
      </c>
    </row>
    <row r="3474">
      <c r="A3474">
        <f>HYPERLINK("https://www.youtube.com/watch?v=SlBtQZnm_68", "Video")</f>
        <v/>
      </c>
      <c r="B3474" t="inlineStr">
        <is>
          <t>0:28</t>
        </is>
      </c>
      <c r="C3474" t="inlineStr">
        <is>
          <t>doing it you're going to drive me crazy</t>
        </is>
      </c>
      <c r="D3474">
        <f>HYPERLINK("https://www.youtube.com/watch?v=SlBtQZnm_68&amp;t=28s", "Go to time")</f>
        <v/>
      </c>
    </row>
    <row r="3475">
      <c r="A3475">
        <f>HYPERLINK("https://www.youtube.com/watch?v=rUyuEviWFbQ", "Video")</f>
        <v/>
      </c>
      <c r="B3475" t="inlineStr">
        <is>
          <t>1:23</t>
        </is>
      </c>
      <c r="C3475" t="inlineStr">
        <is>
          <t>drive down here you can make it in 30</t>
        </is>
      </c>
      <c r="D3475">
        <f>HYPERLINK("https://www.youtube.com/watch?v=rUyuEviWFbQ&amp;t=83s", "Go to time")</f>
        <v/>
      </c>
    </row>
    <row r="3476">
      <c r="A3476">
        <f>HYPERLINK("https://www.youtube.com/watch?v=rUyuEviWFbQ", "Video")</f>
        <v/>
      </c>
      <c r="B3476" t="inlineStr">
        <is>
          <t>1:25</t>
        </is>
      </c>
      <c r="C3476" t="inlineStr">
        <is>
          <t>minutes if you drive 240 miles per hour</t>
        </is>
      </c>
      <c r="D3476">
        <f>HYPERLINK("https://www.youtube.com/watch?v=rUyuEviWFbQ&amp;t=85s", "Go to time")</f>
        <v/>
      </c>
    </row>
    <row r="3477">
      <c r="A3477">
        <f>HYPERLINK("https://www.youtube.com/watch?v=H_uBfQPkcNc", "Video")</f>
        <v/>
      </c>
      <c r="B3477" t="inlineStr">
        <is>
          <t>3:19</t>
        </is>
      </c>
      <c r="C3477" t="inlineStr">
        <is>
          <t>just stop doing it you're going to drive</t>
        </is>
      </c>
      <c r="D3477">
        <f>HYPERLINK("https://www.youtube.com/watch?v=H_uBfQPkcNc&amp;t=199s", "Go to time")</f>
        <v/>
      </c>
    </row>
    <row r="3478">
      <c r="A3478">
        <f>HYPERLINK("https://www.youtube.com/watch?v=lm3vCks0oWU", "Video")</f>
        <v/>
      </c>
      <c r="B3478" t="inlineStr">
        <is>
          <t>0:28</t>
        </is>
      </c>
      <c r="C3478" t="inlineStr">
        <is>
          <t>flea market at the drive-in well that</t>
        </is>
      </c>
      <c r="D3478">
        <f>HYPERLINK("https://www.youtube.com/watch?v=lm3vCks0oWU&amp;t=28s", "Go to time")</f>
        <v/>
      </c>
    </row>
    <row r="3479">
      <c r="A3479">
        <f>HYPERLINK("https://www.youtube.com/watch?v=5KkIdNEHHFQ", "Video")</f>
        <v/>
      </c>
      <c r="B3479" t="inlineStr">
        <is>
          <t>6:55</t>
        </is>
      </c>
      <c r="C3479" t="inlineStr">
        <is>
          <t>-Um, everyone was getting
their driver's license.</t>
        </is>
      </c>
      <c r="D3479">
        <f>HYPERLINK("https://www.youtube.com/watch?v=5KkIdNEHHFQ&amp;t=415s", "Go to time")</f>
        <v/>
      </c>
    </row>
    <row r="3480">
      <c r="A3480">
        <f>HYPERLINK("https://www.youtube.com/watch?v=OqG_LIGvtUU", "Video")</f>
        <v/>
      </c>
      <c r="B3480" t="inlineStr">
        <is>
          <t>9:20</t>
        </is>
      </c>
      <c r="C3480" t="inlineStr">
        <is>
          <t>yeah you drive me there I dominate you</t>
        </is>
      </c>
      <c r="D3480">
        <f>HYPERLINK("https://www.youtube.com/watch?v=OqG_LIGvtUU&amp;t=560s", "Go to time")</f>
        <v/>
      </c>
    </row>
    <row r="3481">
      <c r="A3481">
        <f>HYPERLINK("https://www.youtube.com/watch?v=OqG_LIGvtUU", "Video")</f>
        <v/>
      </c>
      <c r="B3481" t="inlineStr">
        <is>
          <t>9:22</t>
        </is>
      </c>
      <c r="C3481" t="inlineStr">
        <is>
          <t>drive me back</t>
        </is>
      </c>
      <c r="D3481">
        <f>HYPERLINK("https://www.youtube.com/watch?v=OqG_LIGvtUU&amp;t=562s", "Go to time")</f>
        <v/>
      </c>
    </row>
    <row r="3482">
      <c r="A3482">
        <f>HYPERLINK("https://www.youtube.com/watch?v=jjg4hWDFbmY", "Video")</f>
        <v/>
      </c>
      <c r="B3482" t="inlineStr">
        <is>
          <t>16:29</t>
        </is>
      </c>
      <c r="C3482" t="inlineStr">
        <is>
          <t>driver's been gone and it's not in</t>
        </is>
      </c>
      <c r="D3482">
        <f>HYPERLINK("https://www.youtube.com/watch?v=jjg4hWDFbmY&amp;t=989s", "Go to time")</f>
        <v/>
      </c>
    </row>
    <row r="3483">
      <c r="A3483">
        <f>HYPERLINK("https://www.youtube.com/watch?v=8ds9hMaaHv4", "Video")</f>
        <v/>
      </c>
      <c r="B3483" t="inlineStr">
        <is>
          <t>1:18</t>
        </is>
      </c>
      <c r="C3483" t="inlineStr">
        <is>
          <t>shushes me drives me crazy i hate</t>
        </is>
      </c>
      <c r="D3483">
        <f>HYPERLINK("https://www.youtube.com/watch?v=8ds9hMaaHv4&amp;t=78s", "Go to time")</f>
        <v/>
      </c>
    </row>
    <row r="3484">
      <c r="A3484">
        <f>HYPERLINK("https://www.youtube.com/watch?v=8ds9hMaaHv4", "Video")</f>
        <v/>
      </c>
      <c r="B3484" t="inlineStr">
        <is>
          <t>1:50</t>
        </is>
      </c>
      <c r="C3484" t="inlineStr">
        <is>
          <t>you drive them to church the next</t>
        </is>
      </c>
      <c r="D3484">
        <f>HYPERLINK("https://www.youtube.com/watch?v=8ds9hMaaHv4&amp;t=110s", "Go to time")</f>
        <v/>
      </c>
    </row>
    <row r="3485">
      <c r="A3485">
        <f>HYPERLINK("https://www.youtube.com/watch?v=FOq0vJMj-Io", "Video")</f>
        <v/>
      </c>
      <c r="B3485" t="inlineStr">
        <is>
          <t>12:11</t>
        </is>
      </c>
      <c r="C3485" t="inlineStr">
        <is>
          <t>hot chocolates so how's the drive in uh</t>
        </is>
      </c>
      <c r="D3485">
        <f>HYPERLINK("https://www.youtube.com/watch?v=FOq0vJMj-Io&amp;t=731s", "Go to time")</f>
        <v/>
      </c>
    </row>
    <row r="3486">
      <c r="A3486">
        <f>HYPERLINK("https://www.youtube.com/watch?v=FOq0vJMj-Io", "Video")</f>
        <v/>
      </c>
      <c r="B3486" t="inlineStr">
        <is>
          <t>12:13</t>
        </is>
      </c>
      <c r="C3486" t="inlineStr">
        <is>
          <t>nobody knows how to drive in the rain it</t>
        </is>
      </c>
      <c r="D3486">
        <f>HYPERLINK("https://www.youtube.com/watch?v=FOq0vJMj-Io&amp;t=733s", "Go to time")</f>
        <v/>
      </c>
    </row>
    <row r="3487">
      <c r="A3487">
        <f>HYPERLINK("https://www.youtube.com/watch?v=P7ldZ7ZSF58", "Video")</f>
        <v/>
      </c>
      <c r="B3487" t="inlineStr">
        <is>
          <t>0:48</t>
        </is>
      </c>
      <c r="C3487" t="inlineStr">
        <is>
          <t>the drive-in well that sounds fun I'm</t>
        </is>
      </c>
      <c r="D3487">
        <f>HYPERLINK("https://www.youtube.com/watch?v=P7ldZ7ZSF58&amp;t=48s", "Go to time")</f>
        <v/>
      </c>
    </row>
    <row r="3488">
      <c r="A3488">
        <f>HYPERLINK("https://www.youtube.com/watch?v=WUptjd1SWGc", "Video")</f>
        <v/>
      </c>
      <c r="B3488" t="inlineStr">
        <is>
          <t>7:02</t>
        </is>
      </c>
      <c r="C3488" t="inlineStr">
        <is>
          <t>she drive she drives a green camera and</t>
        </is>
      </c>
      <c r="D3488">
        <f>HYPERLINK("https://www.youtube.com/watch?v=WUptjd1SWGc&amp;t=422s", "Go to time")</f>
        <v/>
      </c>
    </row>
    <row r="3489">
      <c r="A3489">
        <f>HYPERLINK("https://www.youtube.com/watch?v=WUptjd1SWGc", "Video")</f>
        <v/>
      </c>
      <c r="B3489" t="inlineStr">
        <is>
          <t>8:28</t>
        </is>
      </c>
      <c r="C3489" t="inlineStr">
        <is>
          <t>drive for</t>
        </is>
      </c>
      <c r="D3489">
        <f>HYPERLINK("https://www.youtube.com/watch?v=WUptjd1SWGc&amp;t=508s", "Go to time")</f>
        <v/>
      </c>
    </row>
    <row r="3490">
      <c r="A3490">
        <f>HYPERLINK("https://www.youtube.com/watch?v=KVpIEJVht-8", "Video")</f>
        <v/>
      </c>
      <c r="B3490" t="inlineStr">
        <is>
          <t>0:53</t>
        </is>
      </c>
      <c r="C3490" t="inlineStr">
        <is>
          <t>we can drive out to a field,</t>
        </is>
      </c>
      <c r="D3490">
        <f>HYPERLINK("https://www.youtube.com/watch?v=KVpIEJVht-8&amp;t=53s", "Go to time")</f>
        <v/>
      </c>
    </row>
    <row r="3491">
      <c r="A3491">
        <f>HYPERLINK("https://www.youtube.com/watch?v=u-OC5jztWcw", "Video")</f>
        <v/>
      </c>
      <c r="B3491" t="inlineStr">
        <is>
          <t>4:17</t>
        </is>
      </c>
      <c r="C3491" t="inlineStr">
        <is>
          <t>she drive she drives a green camera and</t>
        </is>
      </c>
      <c r="D3491">
        <f>HYPERLINK("https://www.youtube.com/watch?v=u-OC5jztWcw&amp;t=257s", "Go to time")</f>
        <v/>
      </c>
    </row>
    <row r="3492">
      <c r="A3492">
        <f>HYPERLINK("https://www.youtube.com/watch?v=bXGZvPC2N_k", "Video")</f>
        <v/>
      </c>
      <c r="B3492" t="inlineStr">
        <is>
          <t>3:22</t>
        </is>
      </c>
      <c r="C3492" t="inlineStr">
        <is>
          <t>you drive them to church the next</t>
        </is>
      </c>
      <c r="D3492">
        <f>HYPERLINK("https://www.youtube.com/watch?v=bXGZvPC2N_k&amp;t=202s", "Go to time")</f>
        <v/>
      </c>
    </row>
    <row r="3493">
      <c r="A3493">
        <f>HYPERLINK("https://www.youtube.com/watch?v=4fOc5n93wVQ", "Video")</f>
        <v/>
      </c>
      <c r="B3493" t="inlineStr">
        <is>
          <t>5:35</t>
        </is>
      </c>
      <c r="C3493" t="inlineStr">
        <is>
          <t>my xeroxer driver's license and she is</t>
        </is>
      </c>
      <c r="D3493">
        <f>HYPERLINK("https://www.youtube.com/watch?v=4fOc5n93wVQ&amp;t=335s", "Go to time")</f>
        <v/>
      </c>
    </row>
    <row r="3494">
      <c r="A3494">
        <f>HYPERLINK("https://www.youtube.com/watch?v=4fOc5n93wVQ", "Video")</f>
        <v/>
      </c>
      <c r="B3494" t="inlineStr">
        <is>
          <t>8:22</t>
        </is>
      </c>
      <c r="C3494" t="inlineStr">
        <is>
          <t>driver</t>
        </is>
      </c>
      <c r="D3494">
        <f>HYPERLINK("https://www.youtube.com/watch?v=4fOc5n93wVQ&amp;t=502s", "Go to time")</f>
        <v/>
      </c>
    </row>
    <row r="3495">
      <c r="A3495">
        <f>HYPERLINK("https://www.youtube.com/watch?v=bScxXio_gH8", "Video")</f>
        <v/>
      </c>
      <c r="B3495" t="inlineStr">
        <is>
          <t>5:54</t>
        </is>
      </c>
      <c r="C3495" t="inlineStr">
        <is>
          <t>care on the drive-in today we were</t>
        </is>
      </c>
      <c r="D3495">
        <f>HYPERLINK("https://www.youtube.com/watch?v=bScxXio_gH8&amp;t=354s", "Go to time")</f>
        <v/>
      </c>
    </row>
    <row r="3496">
      <c r="A3496">
        <f>HYPERLINK("https://www.youtube.com/watch?v=XX_WErDgCag", "Video")</f>
        <v/>
      </c>
      <c r="B3496" t="inlineStr">
        <is>
          <t>0:24</t>
        </is>
      </c>
      <c r="C3496" t="inlineStr">
        <is>
          <t>it or should I Drive all the way back</t>
        </is>
      </c>
      <c r="D3496">
        <f>HYPERLINK("https://www.youtube.com/watch?v=XX_WErDgCag&amp;t=24s", "Go to time")</f>
        <v/>
      </c>
    </row>
    <row r="3497">
      <c r="A3497">
        <f>HYPERLINK("https://www.youtube.com/watch?v=ugm3hm6nxkI", "Video")</f>
        <v/>
      </c>
      <c r="B3497" t="inlineStr">
        <is>
          <t>0:23</t>
        </is>
      </c>
      <c r="C3497" t="inlineStr">
        <is>
          <t>big time okay cars to drive she drives a</t>
        </is>
      </c>
      <c r="D3497">
        <f>HYPERLINK("https://www.youtube.com/watch?v=ugm3hm6nxkI&amp;t=23s", "Go to time")</f>
        <v/>
      </c>
    </row>
    <row r="3498">
      <c r="A3498">
        <f>HYPERLINK("https://www.youtube.com/watch?v=5-wlmE6W_I0", "Video")</f>
        <v/>
      </c>
      <c r="B3498" t="inlineStr">
        <is>
          <t>1:40</t>
        </is>
      </c>
      <c r="C3498" t="inlineStr">
        <is>
          <t>drive them to church the next morning</t>
        </is>
      </c>
      <c r="D3498">
        <f>HYPERLINK("https://www.youtube.com/watch?v=5-wlmE6W_I0&amp;t=100s", "Go to time")</f>
        <v/>
      </c>
    </row>
    <row r="3499">
      <c r="A3499">
        <f>HYPERLINK("https://www.youtube.com/watch?v=0faspZenkZw", "Video")</f>
        <v/>
      </c>
      <c r="B3499" t="inlineStr">
        <is>
          <t>1:48</t>
        </is>
      </c>
      <c r="C3499" t="inlineStr">
        <is>
          <t>drive myself</t>
        </is>
      </c>
      <c r="D3499">
        <f>HYPERLINK("https://www.youtube.com/watch?v=0faspZenkZw&amp;t=108s", "Go to time")</f>
        <v/>
      </c>
    </row>
    <row r="3500">
      <c r="A3500">
        <f>HYPERLINK("https://www.youtube.com/watch?v=FgaxHR-92Is", "Video")</f>
        <v/>
      </c>
      <c r="B3500" t="inlineStr">
        <is>
          <t>3:35</t>
        </is>
      </c>
      <c r="C3500" t="inlineStr">
        <is>
          <t>had to drive to New York to drop off the</t>
        </is>
      </c>
      <c r="D3500">
        <f>HYPERLINK("https://www.youtube.com/watch?v=FgaxHR-92Is&amp;t=215s", "Go to time")</f>
        <v/>
      </c>
    </row>
    <row r="3501">
      <c r="A3501">
        <f>HYPERLINK("https://www.youtube.com/watch?v=snPefAlnsRU", "Video")</f>
        <v/>
      </c>
      <c r="B3501" t="inlineStr">
        <is>
          <t>2:24</t>
        </is>
      </c>
      <c r="C3501" t="inlineStr">
        <is>
          <t>test drive what do you say you pretend</t>
        </is>
      </c>
      <c r="D3501">
        <f>HYPERLINK("https://www.youtube.com/watch?v=snPefAlnsRU&amp;t=144s", "Go to time")</f>
        <v/>
      </c>
    </row>
    <row r="3502">
      <c r="A3502">
        <f>HYPERLINK("https://www.youtube.com/watch?v=snPefAlnsRU", "Video")</f>
        <v/>
      </c>
      <c r="B3502" t="inlineStr">
        <is>
          <t>7:52</t>
        </is>
      </c>
      <c r="C3502" t="inlineStr">
        <is>
          <t>drives on Dad I love you and I don't</t>
        </is>
      </c>
      <c r="D3502">
        <f>HYPERLINK("https://www.youtube.com/watch?v=snPefAlnsRU&amp;t=472s", "Go to time")</f>
        <v/>
      </c>
    </row>
    <row r="3503">
      <c r="A3503">
        <f>HYPERLINK("https://www.youtube.com/watch?v=242HMrCscEo", "Video")</f>
        <v/>
      </c>
      <c r="B3503" t="inlineStr">
        <is>
          <t>12:17</t>
        </is>
      </c>
      <c r="C3503" t="inlineStr">
        <is>
          <t>drive safe everybody knows I go to</t>
        </is>
      </c>
      <c r="D3503">
        <f>HYPERLINK("https://www.youtube.com/watch?v=242HMrCscEo&amp;t=737s", "Go to time")</f>
        <v/>
      </c>
    </row>
    <row r="3504">
      <c r="A3504">
        <f>HYPERLINK("https://www.youtube.com/watch?v=WjaTCigh8P8", "Video")</f>
        <v/>
      </c>
      <c r="B3504" t="inlineStr">
        <is>
          <t>0:55</t>
        </is>
      </c>
      <c r="C3504" t="inlineStr">
        <is>
          <t>please do not drink and drive because</t>
        </is>
      </c>
      <c r="D3504">
        <f>HYPERLINK("https://www.youtube.com/watch?v=WjaTCigh8P8&amp;t=55s", "Go to time")</f>
        <v/>
      </c>
    </row>
    <row r="3505">
      <c r="A3505">
        <f>HYPERLINK("https://www.youtube.com/watch?v=ZdCooCaQv4I", "Video")</f>
        <v/>
      </c>
      <c r="B3505" t="inlineStr">
        <is>
          <t>10:22</t>
        </is>
      </c>
      <c r="C3505" t="inlineStr">
        <is>
          <t>tables is O her driver's license and she</t>
        </is>
      </c>
      <c r="D3505">
        <f>HYPERLINK("https://www.youtube.com/watch?v=ZdCooCaQv4I&amp;t=622s", "Go to time")</f>
        <v/>
      </c>
    </row>
    <row r="3506">
      <c r="A3506">
        <f>HYPERLINK("https://www.youtube.com/watch?v=rQwZ6z68gdI", "Video")</f>
        <v/>
      </c>
      <c r="B3506" t="inlineStr">
        <is>
          <t>3:50</t>
        </is>
      </c>
      <c r="C3506" t="inlineStr">
        <is>
          <t>know what i think that i should drive</t>
        </is>
      </c>
      <c r="D3506">
        <f>HYPERLINK("https://www.youtube.com/watch?v=rQwZ6z68gdI&amp;t=230s", "Go to time")</f>
        <v/>
      </c>
    </row>
    <row r="3507">
      <c r="A3507">
        <f>HYPERLINK("https://www.youtube.com/watch?v=rQwZ6z68gdI", "Video")</f>
        <v/>
      </c>
      <c r="B3507" t="inlineStr">
        <is>
          <t>3:54</t>
        </is>
      </c>
      <c r="C3507" t="inlineStr">
        <is>
          <t>i am a licensed class-c driver in the</t>
        </is>
      </c>
      <c r="D3507">
        <f>HYPERLINK("https://www.youtube.com/watch?v=rQwZ6z68gdI&amp;t=234s", "Go to time")</f>
        <v/>
      </c>
    </row>
    <row r="3508">
      <c r="A3508">
        <f>HYPERLINK("https://www.youtube.com/watch?v=Ljp4fHFulgE", "Video")</f>
        <v/>
      </c>
      <c r="B3508" t="inlineStr">
        <is>
          <t>0:44</t>
        </is>
      </c>
      <c r="C3508" t="inlineStr">
        <is>
          <t>What would drive him crazy?
-I know.</t>
        </is>
      </c>
      <c r="D3508">
        <f>HYPERLINK("https://www.youtube.com/watch?v=Ljp4fHFulgE&amp;t=44s", "Go to time")</f>
        <v/>
      </c>
    </row>
    <row r="3509">
      <c r="A3509">
        <f>HYPERLINK("https://www.youtube.com/watch?v=nhUOb6AhH4s", "Video")</f>
        <v/>
      </c>
      <c r="B3509" t="inlineStr">
        <is>
          <t>3:10</t>
        </is>
      </c>
      <c r="C3509" t="inlineStr">
        <is>
          <t>tables by Xerox her driver's license and</t>
        </is>
      </c>
      <c r="D3509">
        <f>HYPERLINK("https://www.youtube.com/watch?v=nhUOb6AhH4s&amp;t=190s", "Go to time")</f>
        <v/>
      </c>
    </row>
    <row r="3510">
      <c r="A3510">
        <f>HYPERLINK("https://www.youtube.com/watch?v=tUqkX3xCb5M", "Video")</f>
        <v/>
      </c>
      <c r="B3510" t="inlineStr">
        <is>
          <t>6:57</t>
        </is>
      </c>
      <c r="C3510" t="inlineStr">
        <is>
          <t>yeah all right you wanna drive sure all</t>
        </is>
      </c>
      <c r="D3510">
        <f>HYPERLINK("https://www.youtube.com/watch?v=tUqkX3xCb5M&amp;t=417s", "Go to time")</f>
        <v/>
      </c>
    </row>
    <row r="3511">
      <c r="A3511">
        <f>HYPERLINK("https://www.youtube.com/watch?v=QUkVbPf6g1Q", "Video")</f>
        <v/>
      </c>
      <c r="B3511" t="inlineStr">
        <is>
          <t>5:00</t>
        </is>
      </c>
      <c r="C3511" t="inlineStr">
        <is>
          <t>mom Oh big time okay cars to drive she</t>
        </is>
      </c>
      <c r="D3511">
        <f>HYPERLINK("https://www.youtube.com/watch?v=QUkVbPf6g1Q&amp;t=300s", "Go to time")</f>
        <v/>
      </c>
    </row>
    <row r="3512">
      <c r="A3512">
        <f>HYPERLINK("https://www.youtube.com/watch?v=QUkVbPf6g1Q", "Video")</f>
        <v/>
      </c>
      <c r="B3512" t="inlineStr">
        <is>
          <t>5:03</t>
        </is>
      </c>
      <c r="C3512" t="inlineStr">
        <is>
          <t>drives a green Camry</t>
        </is>
      </c>
      <c r="D3512">
        <f>HYPERLINK("https://www.youtube.com/watch?v=QUkVbPf6g1Q&amp;t=303s", "Go to time")</f>
        <v/>
      </c>
    </row>
    <row r="3513">
      <c r="A3513">
        <f>HYPERLINK("https://www.youtube.com/watch?v=cORMwIo89Lw", "Video")</f>
        <v/>
      </c>
      <c r="B3513" t="inlineStr">
        <is>
          <t>11:02</t>
        </is>
      </c>
      <c r="C3513" t="inlineStr">
        <is>
          <t>Spent a ton on tickets though Drive safe</t>
        </is>
      </c>
      <c r="D3513">
        <f>HYPERLINK("https://www.youtube.com/watch?v=cORMwIo89Lw&amp;t=662s", "Go to time")</f>
        <v/>
      </c>
    </row>
    <row r="3514">
      <c r="A3514">
        <f>HYPERLINK("https://www.youtube.com/watch?v=JIs7qNQcQAE", "Video")</f>
        <v/>
      </c>
      <c r="B3514" t="inlineStr">
        <is>
          <t>2:49</t>
        </is>
      </c>
      <c r="C3514" t="inlineStr">
        <is>
          <t>crash driver always protects his side</t>
        </is>
      </c>
      <c r="D3514">
        <f>HYPERLINK("https://www.youtube.com/watch?v=JIs7qNQcQAE&amp;t=169s", "Go to time")</f>
        <v/>
      </c>
    </row>
    <row r="3515">
      <c r="A3515">
        <f>HYPERLINK("https://www.youtube.com/watch?v=6ExYUejiqI0", "Video")</f>
        <v/>
      </c>
      <c r="B3515" t="inlineStr">
        <is>
          <t>7:00</t>
        </is>
      </c>
      <c r="C3515" t="inlineStr">
        <is>
          <t>getting their driver's license why don't</t>
        </is>
      </c>
      <c r="D3515">
        <f>HYPERLINK("https://www.youtube.com/watch?v=6ExYUejiqI0&amp;t=420s", "Go to time")</f>
        <v/>
      </c>
    </row>
    <row r="3516">
      <c r="A3516">
        <f>HYPERLINK("https://www.youtube.com/watch?v=6ExYUejiqI0", "Video")</f>
        <v/>
      </c>
      <c r="B3516" t="inlineStr">
        <is>
          <t>9:54</t>
        </is>
      </c>
      <c r="C3516" t="inlineStr">
        <is>
          <t>long the driver's been gone and it's not</t>
        </is>
      </c>
      <c r="D3516">
        <f>HYPERLINK("https://www.youtube.com/watch?v=6ExYUejiqI0&amp;t=594s", "Go to time")</f>
        <v/>
      </c>
    </row>
    <row r="3517">
      <c r="A3517">
        <f>HYPERLINK("https://www.youtube.com/watch?v=6ExYUejiqI0", "Video")</f>
        <v/>
      </c>
      <c r="B3517" t="inlineStr">
        <is>
          <t>12:38</t>
        </is>
      </c>
      <c r="C3517" t="inlineStr">
        <is>
          <t>drive down here you can make it in 30</t>
        </is>
      </c>
      <c r="D3517">
        <f>HYPERLINK("https://www.youtube.com/watch?v=6ExYUejiqI0&amp;t=758s", "Go to time")</f>
        <v/>
      </c>
    </row>
    <row r="3518">
      <c r="A3518">
        <f>HYPERLINK("https://www.youtube.com/watch?v=6ExYUejiqI0", "Video")</f>
        <v/>
      </c>
      <c r="B3518" t="inlineStr">
        <is>
          <t>12:39</t>
        </is>
      </c>
      <c r="C3518" t="inlineStr">
        <is>
          <t>minutes if you drive 240</t>
        </is>
      </c>
      <c r="D3518">
        <f>HYPERLINK("https://www.youtube.com/watch?v=6ExYUejiqI0&amp;t=759s", "Go to time")</f>
        <v/>
      </c>
    </row>
    <row r="3519">
      <c r="A3519">
        <f>HYPERLINK("https://www.youtube.com/watch?v=S8gHPeO792g", "Video")</f>
        <v/>
      </c>
      <c r="B3519" t="inlineStr">
        <is>
          <t>2:04</t>
        </is>
      </c>
      <c r="C3519" t="inlineStr">
        <is>
          <t>please do not drink and drive because</t>
        </is>
      </c>
      <c r="D3519">
        <f>HYPERLINK("https://www.youtube.com/watch?v=S8gHPeO792g&amp;t=124s", "Go to time")</f>
        <v/>
      </c>
    </row>
    <row r="3520">
      <c r="A3520">
        <f>HYPERLINK("https://www.youtube.com/watch?v=S8gHPeO792g", "Video")</f>
        <v/>
      </c>
      <c r="B3520" t="inlineStr">
        <is>
          <t>5:22</t>
        </is>
      </c>
      <c r="C3520" t="inlineStr">
        <is>
          <t>others a Purpose Driven Life</t>
        </is>
      </c>
      <c r="D3520">
        <f>HYPERLINK("https://www.youtube.com/watch?v=S8gHPeO792g&amp;t=322s", "Go to time")</f>
        <v/>
      </c>
    </row>
    <row r="3521">
      <c r="A3521">
        <f>HYPERLINK("https://www.youtube.com/watch?v=7kg7F7oHlTw", "Video")</f>
        <v/>
      </c>
      <c r="B3521" t="inlineStr">
        <is>
          <t>1:14</t>
        </is>
      </c>
      <c r="C3521" t="inlineStr">
        <is>
          <t>about it so I decided that I would drive</t>
        </is>
      </c>
      <c r="D3521">
        <f>HYPERLINK("https://www.youtube.com/watch?v=7kg7F7oHlTw&amp;t=74s", "Go to time")</f>
        <v/>
      </c>
    </row>
    <row r="3522">
      <c r="A3522">
        <f>HYPERLINK("https://www.youtube.com/watch?v=owTla1kJGhs", "Video")</f>
        <v/>
      </c>
      <c r="B3522" t="inlineStr">
        <is>
          <t>10:02</t>
        </is>
      </c>
      <c r="C3522" t="inlineStr">
        <is>
          <t>driver yes you are here let me take that</t>
        </is>
      </c>
      <c r="D3522">
        <f>HYPERLINK("https://www.youtube.com/watch?v=owTla1kJGhs&amp;t=602s", "Go to time")</f>
        <v/>
      </c>
    </row>
    <row r="3523">
      <c r="A3523">
        <f>HYPERLINK("https://www.youtube.com/watch?v=dAm1lMksBqM", "Video")</f>
        <v/>
      </c>
      <c r="B3523" t="inlineStr">
        <is>
          <t>1:01</t>
        </is>
      </c>
      <c r="C3523" t="inlineStr">
        <is>
          <t>would drive him</t>
        </is>
      </c>
      <c r="D3523">
        <f>HYPERLINK("https://www.youtube.com/watch?v=dAm1lMksBqM&amp;t=61s", "Go to time")</f>
        <v/>
      </c>
    </row>
    <row r="3524">
      <c r="A3524">
        <f>HYPERLINK("https://www.youtube.com/watch?v=m-JGhDwyYkU", "Video")</f>
        <v/>
      </c>
      <c r="B3524" t="inlineStr">
        <is>
          <t>0:13</t>
        </is>
      </c>
      <c r="C3524" t="inlineStr">
        <is>
          <t>not drink and drive because you may hit</t>
        </is>
      </c>
      <c r="D3524">
        <f>HYPERLINK("https://www.youtube.com/watch?v=m-JGhDwyYkU&amp;t=13s", "Go to time")</f>
        <v/>
      </c>
    </row>
    <row r="3525">
      <c r="A3525">
        <f>HYPERLINK("https://www.youtube.com/watch?v=gRkbIqL72Io", "Video")</f>
        <v/>
      </c>
      <c r="B3525" t="inlineStr">
        <is>
          <t>2:35</t>
        </is>
      </c>
      <c r="C3525" t="inlineStr">
        <is>
          <t>so I am going to drive up for your</t>
        </is>
      </c>
      <c r="D3525">
        <f>HYPERLINK("https://www.youtube.com/watch?v=gRkbIqL72Io&amp;t=155s", "Go to time")</f>
        <v/>
      </c>
    </row>
    <row r="3526">
      <c r="A3526">
        <f>HYPERLINK("https://www.youtube.com/watch?v=dv0kh5a5RqA", "Video")</f>
        <v/>
      </c>
      <c r="B3526" t="inlineStr">
        <is>
          <t>0:13</t>
        </is>
      </c>
      <c r="C3526" t="inlineStr">
        <is>
          <t>crash driver always protects his side</t>
        </is>
      </c>
      <c r="D3526">
        <f>HYPERLINK("https://www.youtube.com/watch?v=dv0kh5a5RqA&amp;t=13s", "Go to time")</f>
        <v/>
      </c>
    </row>
    <row r="3527">
      <c r="A3527">
        <f>HYPERLINK("https://www.youtube.com/watch?v=f3meSYa9LfQ", "Video")</f>
        <v/>
      </c>
      <c r="B3527" t="inlineStr">
        <is>
          <t>7:12</t>
        </is>
      </c>
      <c r="C3527" t="inlineStr">
        <is>
          <t>drive what do you say you pretend to be</t>
        </is>
      </c>
      <c r="D3527">
        <f>HYPERLINK("https://www.youtube.com/watch?v=f3meSYa9LfQ&amp;t=432s", "Go to time")</f>
        <v/>
      </c>
    </row>
    <row r="3528">
      <c r="A3528">
        <f>HYPERLINK("https://www.youtube.com/watch?v=8GxqvnQyaxs", "Video")</f>
        <v/>
      </c>
      <c r="B3528" t="inlineStr">
        <is>
          <t>0:52</t>
        </is>
      </c>
      <c r="C3528" t="inlineStr">
        <is>
          <t>their driver's license why don't we just</t>
        </is>
      </c>
      <c r="D3528">
        <f>HYPERLINK("https://www.youtube.com/watch?v=8GxqvnQyaxs&amp;t=52s", "Go to time")</f>
        <v/>
      </c>
    </row>
    <row r="3529">
      <c r="A3529">
        <f>HYPERLINK("https://www.youtube.com/watch?v=Xfus-AliARA", "Video")</f>
        <v/>
      </c>
      <c r="B3529" t="inlineStr">
        <is>
          <t>1:31</t>
        </is>
      </c>
      <c r="C3529" t="inlineStr">
        <is>
          <t>me how to drive stick like a year</t>
        </is>
      </c>
      <c r="D3529">
        <f>HYPERLINK("https://www.youtube.com/watch?v=Xfus-AliARA&amp;t=91s", "Go to time")</f>
        <v/>
      </c>
    </row>
    <row r="3530">
      <c r="A3530">
        <f>HYPERLINK("https://www.youtube.com/watch?v=uK6RaiZdzCo", "Video")</f>
        <v/>
      </c>
      <c r="B3530" t="inlineStr">
        <is>
          <t>7:53</t>
        </is>
      </c>
      <c r="C3530" t="inlineStr">
        <is>
          <t>would drive him</t>
        </is>
      </c>
      <c r="D3530">
        <f>HYPERLINK("https://www.youtube.com/watch?v=uK6RaiZdzCo&amp;t=473s", "Go to time")</f>
        <v/>
      </c>
    </row>
    <row r="3531">
      <c r="A3531">
        <f>HYPERLINK("https://www.youtube.com/watch?v=_OzF0CWn8Ss", "Video")</f>
        <v/>
      </c>
      <c r="B3531" t="inlineStr">
        <is>
          <t>0:55</t>
        </is>
      </c>
      <c r="C3531" t="inlineStr">
        <is>
          <t>drive she drives a green camera and the</t>
        </is>
      </c>
      <c r="D3531">
        <f>HYPERLINK("https://www.youtube.com/watch?v=_OzF0CWn8Ss&amp;t=55s", "Go to time")</f>
        <v/>
      </c>
    </row>
    <row r="3532">
      <c r="A3532">
        <f>HYPERLINK("https://www.youtube.com/watch?v=lCkdmMVBi9E", "Video")</f>
        <v/>
      </c>
      <c r="B3532" t="inlineStr">
        <is>
          <t>3:28</t>
        </is>
      </c>
      <c r="C3532" t="inlineStr">
        <is>
          <t>bobble right the circle Drive in they</t>
        </is>
      </c>
      <c r="D3532">
        <f>HYPERLINK("https://www.youtube.com/watch?v=lCkdmMVBi9E&amp;t=208s", "Go to time")</f>
        <v/>
      </c>
    </row>
    <row r="3533">
      <c r="A3533">
        <f>HYPERLINK("https://www.youtube.com/watch?v=3YZBJBdDf1Y", "Video")</f>
        <v/>
      </c>
      <c r="B3533" t="inlineStr">
        <is>
          <t>7:05</t>
        </is>
      </c>
      <c r="C3533" t="inlineStr">
        <is>
          <t>car do she drive she drives a green cam</t>
        </is>
      </c>
      <c r="D3533">
        <f>HYPERLINK("https://www.youtube.com/watch?v=3YZBJBdDf1Y&amp;t=425s", "Go to time")</f>
        <v/>
      </c>
    </row>
    <row r="3534">
      <c r="A3534">
        <f>HYPERLINK("https://www.youtube.com/watch?v=R22sZYBLFEQ", "Video")</f>
        <v/>
      </c>
      <c r="B3534" t="inlineStr">
        <is>
          <t>2:08</t>
        </is>
      </c>
      <c r="C3534" t="inlineStr">
        <is>
          <t>do not drink and drive because you may</t>
        </is>
      </c>
      <c r="D3534">
        <f>HYPERLINK("https://www.youtube.com/watch?v=R22sZYBLFEQ&amp;t=128s", "Go to time")</f>
        <v/>
      </c>
    </row>
    <row r="3535">
      <c r="A3535">
        <f>HYPERLINK("https://www.youtube.com/watch?v=b0G__sycz9Q", "Video")</f>
        <v/>
      </c>
      <c r="B3535" t="inlineStr">
        <is>
          <t>9:43</t>
        </is>
      </c>
      <c r="C3535" t="inlineStr">
        <is>
          <t>I'll drive my resolution is to read more</t>
        </is>
      </c>
      <c r="D3535">
        <f>HYPERLINK("https://www.youtube.com/watch?v=b0G__sycz9Q&amp;t=583s", "Go to time")</f>
        <v/>
      </c>
    </row>
    <row r="3536">
      <c r="A3536">
        <f>HYPERLINK("https://www.youtube.com/watch?v=Cy9kugD9rzI", "Video")</f>
        <v/>
      </c>
      <c r="B3536" t="inlineStr">
        <is>
          <t>12:18</t>
        </is>
      </c>
      <c r="C3536" t="inlineStr">
        <is>
          <t>drive he was in the back seat but right</t>
        </is>
      </c>
      <c r="D3536">
        <f>HYPERLINK("https://www.youtube.com/watch?v=Cy9kugD9rzI&amp;t=738s", "Go to time")</f>
        <v/>
      </c>
    </row>
    <row r="3537">
      <c r="A3537">
        <f>HYPERLINK("https://www.youtube.com/watch?v=78SgHHz6kuQ", "Video")</f>
        <v/>
      </c>
      <c r="B3537" t="inlineStr">
        <is>
          <t>5:28</t>
        </is>
      </c>
      <c r="C3537" t="inlineStr">
        <is>
          <t>In the event of a crash, the driver always protects his side first.</t>
        </is>
      </c>
      <c r="D3537">
        <f>HYPERLINK("https://www.youtube.com/watch?v=78SgHHz6kuQ&amp;t=328s", "Go to time")</f>
        <v/>
      </c>
    </row>
    <row r="3538">
      <c r="A3538">
        <f>HYPERLINK("https://www.youtube.com/watch?v=JGAO6yQz6QQ", "Video")</f>
        <v/>
      </c>
      <c r="B3538" t="inlineStr">
        <is>
          <t>10:34</t>
        </is>
      </c>
      <c r="C3538" t="inlineStr">
        <is>
          <t>-Drive.
-Oh, worker's comp my ass!</t>
        </is>
      </c>
      <c r="D3538">
        <f>HYPERLINK("https://www.youtube.com/watch?v=JGAO6yQz6QQ&amp;t=634s", "Go to time")</f>
        <v/>
      </c>
    </row>
    <row r="3539">
      <c r="A3539">
        <f>HYPERLINK("https://www.youtube.com/watch?v=xOqZ4qdMDes", "Video")</f>
        <v/>
      </c>
      <c r="B3539" t="inlineStr">
        <is>
          <t>12:57</t>
        </is>
      </c>
      <c r="C3539" t="inlineStr">
        <is>
          <t>I'll drive my resolution is to read more</t>
        </is>
      </c>
      <c r="D3539">
        <f>HYPERLINK("https://www.youtube.com/watch?v=xOqZ4qdMDes&amp;t=777s", "Go to time")</f>
        <v/>
      </c>
    </row>
    <row r="3540">
      <c r="A3540">
        <f>HYPERLINK("https://www.youtube.com/watch?v=xJOzCNjVtiE", "Video")</f>
        <v/>
      </c>
      <c r="B3540" t="inlineStr">
        <is>
          <t>0:00</t>
        </is>
      </c>
      <c r="C3540" t="inlineStr">
        <is>
          <t>are you from Philly that's a drive yeah</t>
        </is>
      </c>
      <c r="D3540">
        <f>HYPERLINK("https://www.youtube.com/watch?v=xJOzCNjVtiE&amp;t=0s", "Go to time")</f>
        <v/>
      </c>
    </row>
    <row r="3541">
      <c r="A3541">
        <f>HYPERLINK("https://www.youtube.com/watch?v=lC5lsemxaJo", "Video")</f>
        <v/>
      </c>
      <c r="B3541" t="inlineStr">
        <is>
          <t>0:06</t>
        </is>
      </c>
      <c r="C3541" t="inlineStr">
        <is>
          <t>drives a Corvette he's doing just fine</t>
        </is>
      </c>
      <c r="D3541">
        <f>HYPERLINK("https://www.youtube.com/watch?v=lC5lsemxaJo&amp;t=6s", "Go to time")</f>
        <v/>
      </c>
    </row>
    <row r="3542">
      <c r="A3542">
        <f>HYPERLINK("https://www.youtube.com/watch?v=O-kcDI8qQSI", "Video")</f>
        <v/>
      </c>
      <c r="B3542" t="inlineStr">
        <is>
          <t>0:43</t>
        </is>
      </c>
      <c r="C3542" t="inlineStr">
        <is>
          <t>you just stop on by you want me to drive</t>
        </is>
      </c>
      <c r="D3542">
        <f>HYPERLINK("https://www.youtube.com/watch?v=O-kcDI8qQSI&amp;t=43s", "Go to time")</f>
        <v/>
      </c>
    </row>
    <row r="3543">
      <c r="A3543">
        <f>HYPERLINK("https://www.youtube.com/watch?v=rD0uWHoKS_w", "Video")</f>
        <v/>
      </c>
      <c r="B3543" t="inlineStr">
        <is>
          <t>2:35</t>
        </is>
      </c>
      <c r="C3543" t="inlineStr">
        <is>
          <t>event of a crash driver always protects</t>
        </is>
      </c>
      <c r="D3543">
        <f>HYPERLINK("https://www.youtube.com/watch?v=rD0uWHoKS_w&amp;t=155s", "Go to time")</f>
        <v/>
      </c>
    </row>
    <row r="3544">
      <c r="A3544">
        <f>HYPERLINK("https://www.youtube.com/watch?v=pBZJyjyjIoQ", "Video")</f>
        <v/>
      </c>
      <c r="B3544" t="inlineStr">
        <is>
          <t>2:38</t>
        </is>
      </c>
      <c r="C3544" t="inlineStr">
        <is>
          <t>you even drive them in traffic ah I'm so</t>
        </is>
      </c>
      <c r="D3544">
        <f>HYPERLINK("https://www.youtube.com/watch?v=pBZJyjyjIoQ&amp;t=158s", "Go to time")</f>
        <v/>
      </c>
    </row>
    <row r="3545">
      <c r="A3545">
        <f>HYPERLINK("https://www.youtube.com/watch?v=pBZJyjyjIoQ", "Video")</f>
        <v/>
      </c>
      <c r="B3545" t="inlineStr">
        <is>
          <t>2:41</t>
        </is>
      </c>
      <c r="C3545" t="inlineStr">
        <is>
          <t>smart equals MCs squared I drive a smart</t>
        </is>
      </c>
      <c r="D3545">
        <f>HYPERLINK("https://www.youtube.com/watch?v=pBZJyjyjIoQ&amp;t=161s", "Go to time")</f>
        <v/>
      </c>
    </row>
    <row r="3546">
      <c r="A3546">
        <f>HYPERLINK("https://www.youtube.com/watch?v=QwfjeegBDeo", "Video")</f>
        <v/>
      </c>
      <c r="B3546" t="inlineStr">
        <is>
          <t>1:34</t>
        </is>
      </c>
      <c r="C3546" t="inlineStr">
        <is>
          <t>oh so you drive an x-earth yeah that</t>
        </is>
      </c>
      <c r="D3546">
        <f>HYPERLINK("https://www.youtube.com/watch?v=QwfjeegBDeo&amp;t=94s", "Go to time")</f>
        <v/>
      </c>
    </row>
    <row r="3547">
      <c r="A3547">
        <f>HYPERLINK("https://www.youtube.com/watch?v=QwfjeegBDeo", "Video")</f>
        <v/>
      </c>
      <c r="B3547" t="inlineStr">
        <is>
          <t>1:36</t>
        </is>
      </c>
      <c r="C3547" t="inlineStr">
        <is>
          <t>makes sense i'd rather drive a classic</t>
        </is>
      </c>
      <c r="D3547">
        <f>HYPERLINK("https://www.youtube.com/watch?v=QwfjeegBDeo&amp;t=96s", "Go to time")</f>
        <v/>
      </c>
    </row>
    <row r="3548">
      <c r="A3548">
        <f>HYPERLINK("https://www.youtube.com/watch?v=QwfjeegBDeo", "Video")</f>
        <v/>
      </c>
      <c r="B3548" t="inlineStr">
        <is>
          <t>1:48</t>
        </is>
      </c>
      <c r="C3548" t="inlineStr">
        <is>
          <t>time machine because i drive an 87. oh</t>
        </is>
      </c>
      <c r="D3548">
        <f>HYPERLINK("https://www.youtube.com/watch?v=QwfjeegBDeo&amp;t=108s", "Go to time")</f>
        <v/>
      </c>
    </row>
    <row r="3549">
      <c r="A3549">
        <f>HYPERLINK("https://www.youtube.com/watch?v=1-_sgj0jF_w", "Video")</f>
        <v/>
      </c>
      <c r="B3549" t="inlineStr">
        <is>
          <t>3:18</t>
        </is>
      </c>
      <c r="C3549" t="inlineStr">
        <is>
          <t>tiny can you even drive them in</t>
        </is>
      </c>
      <c r="D3549">
        <f>HYPERLINK("https://www.youtube.com/watch?v=1-_sgj0jF_w&amp;t=198s", "Go to time")</f>
        <v/>
      </c>
    </row>
    <row r="3550">
      <c r="A3550">
        <f>HYPERLINK("https://www.youtube.com/watch?v=1-_sgj0jF_w", "Video")</f>
        <v/>
      </c>
      <c r="B3550" t="inlineStr">
        <is>
          <t>3:25</t>
        </is>
      </c>
      <c r="C3550" t="inlineStr">
        <is>
          <t>I I drive a smart car that's not smart</t>
        </is>
      </c>
      <c r="D3550">
        <f>HYPERLINK("https://www.youtube.com/watch?v=1-_sgj0jF_w&amp;t=205s", "Go to time")</f>
        <v/>
      </c>
    </row>
    <row r="3551">
      <c r="A3551">
        <f>HYPERLINK("https://www.youtube.com/watch?v=THolqsuG-Do", "Video")</f>
        <v/>
      </c>
      <c r="B3551" t="inlineStr">
        <is>
          <t>0:44</t>
        </is>
      </c>
      <c r="C3551" t="inlineStr">
        <is>
          <t>drive safe everybody knows I go to</t>
        </is>
      </c>
      <c r="D3551">
        <f>HYPERLINK("https://www.youtube.com/watch?v=THolqsuG-Do&amp;t=44s", "Go to time")</f>
        <v/>
      </c>
    </row>
    <row r="3552">
      <c r="A3552">
        <f>HYPERLINK("https://www.youtube.com/watch?v=ZOpf3wpo43w", "Video")</f>
        <v/>
      </c>
      <c r="B3552" t="inlineStr">
        <is>
          <t>6:39</t>
        </is>
      </c>
      <c r="C3552" t="inlineStr">
        <is>
          <t>tiny can you even drive them in</t>
        </is>
      </c>
      <c r="D3552">
        <f>HYPERLINK("https://www.youtube.com/watch?v=ZOpf3wpo43w&amp;t=399s", "Go to time")</f>
        <v/>
      </c>
    </row>
    <row r="3553">
      <c r="A3553">
        <f>HYPERLINK("https://www.youtube.com/watch?v=ZOpf3wpo43w", "Video")</f>
        <v/>
      </c>
      <c r="B3553" t="inlineStr">
        <is>
          <t>6:46</t>
        </is>
      </c>
      <c r="C3553" t="inlineStr">
        <is>
          <t>drive a smart car that's not smart in my</t>
        </is>
      </c>
      <c r="D3553">
        <f>HYPERLINK("https://www.youtube.com/watch?v=ZOpf3wpo43w&amp;t=406s", "Go to time")</f>
        <v/>
      </c>
    </row>
    <row r="3554">
      <c r="A3554">
        <f>HYPERLINK("https://www.youtube.com/watch?v=jgliCvYQ4hY", "Video")</f>
        <v/>
      </c>
      <c r="B3554" t="inlineStr">
        <is>
          <t>12:38</t>
        </is>
      </c>
      <c r="C3554" t="inlineStr">
        <is>
          <t>Please drive around.</t>
        </is>
      </c>
      <c r="D3554">
        <f>HYPERLINK("https://www.youtube.com/watch?v=jgliCvYQ4hY&amp;t=758s", "Go to time")</f>
        <v/>
      </c>
    </row>
    <row r="3555">
      <c r="A3555">
        <f>HYPERLINK("https://www.youtube.com/watch?v=OJj93V-HR8U", "Video")</f>
        <v/>
      </c>
      <c r="B3555" t="inlineStr">
        <is>
          <t>22:23</t>
        </is>
      </c>
      <c r="C3555" t="inlineStr">
        <is>
          <t>woman who drives like that I love you</t>
        </is>
      </c>
      <c r="D3555">
        <f>HYPERLINK("https://www.youtube.com/watch?v=OJj93V-HR8U&amp;t=1343s", "Go to time")</f>
        <v/>
      </c>
    </row>
    <row r="3556">
      <c r="A3556">
        <f>HYPERLINK("https://www.youtube.com/watch?v=Wy0e_WJNnOc", "Video")</f>
        <v/>
      </c>
      <c r="B3556" t="inlineStr">
        <is>
          <t>34:15</t>
        </is>
      </c>
      <c r="C3556" t="inlineStr">
        <is>
          <t>drive hey Brian you got a sec yeah I</t>
        </is>
      </c>
      <c r="D3556">
        <f>HYPERLINK("https://www.youtube.com/watch?v=Wy0e_WJNnOc&amp;t=2055s", "Go to time")</f>
        <v/>
      </c>
    </row>
    <row r="3557">
      <c r="A3557">
        <f>HYPERLINK("https://www.youtube.com/watch?v=bPUzRvCpd8M", "Video")</f>
        <v/>
      </c>
      <c r="B3557" t="inlineStr">
        <is>
          <t>7:08</t>
        </is>
      </c>
      <c r="C3557" t="inlineStr">
        <is>
          <t>so I decided that I would drive down</t>
        </is>
      </c>
      <c r="D3557">
        <f>HYPERLINK("https://www.youtube.com/watch?v=bPUzRvCpd8M&amp;t=428s", "Go to time")</f>
        <v/>
      </c>
    </row>
    <row r="3558">
      <c r="A3558">
        <f>HYPERLINK("https://www.youtube.com/watch?v=T-yT9X4XkH0", "Video")</f>
        <v/>
      </c>
      <c r="B3558" t="inlineStr">
        <is>
          <t>3:50</t>
        </is>
      </c>
      <c r="C3558" t="inlineStr">
        <is>
          <t>drives and guess what you're not a</t>
        </is>
      </c>
      <c r="D3558">
        <f>HYPERLINK("https://www.youtube.com/watch?v=T-yT9X4XkH0&amp;t=230s", "Go to time")</f>
        <v/>
      </c>
    </row>
    <row r="3559">
      <c r="A3559">
        <f>HYPERLINK("https://www.youtube.com/watch?v=-gTQWOk6dkg", "Video")</f>
        <v/>
      </c>
      <c r="B3559" t="inlineStr">
        <is>
          <t>28:15</t>
        </is>
      </c>
      <c r="C3559" t="inlineStr">
        <is>
          <t>is we drive all day and we stay in</t>
        </is>
      </c>
      <c r="D3559">
        <f>HYPERLINK("https://www.youtube.com/watch?v=-gTQWOk6dkg&amp;t=1695s", "Go to time")</f>
        <v/>
      </c>
    </row>
    <row r="3560">
      <c r="A3560">
        <f>HYPERLINK("https://www.youtube.com/watch?v=-gTQWOk6dkg", "Video")</f>
        <v/>
      </c>
      <c r="B3560" t="inlineStr">
        <is>
          <t>29:49</t>
        </is>
      </c>
      <c r="C3560" t="inlineStr">
        <is>
          <t>she drive she drives a green cam R and</t>
        </is>
      </c>
      <c r="D3560">
        <f>HYPERLINK("https://www.youtube.com/watch?v=-gTQWOk6dkg&amp;t=1789s", "Go to time")</f>
        <v/>
      </c>
    </row>
    <row r="3561">
      <c r="A3561">
        <f>HYPERLINK("https://www.youtube.com/watch?v=yt0XYibFwaY", "Video")</f>
        <v/>
      </c>
      <c r="B3561" t="inlineStr">
        <is>
          <t>3:48</t>
        </is>
      </c>
      <c r="C3561" t="inlineStr">
        <is>
          <t>have to drive back to Scranton to the</t>
        </is>
      </c>
      <c r="D3561">
        <f>HYPERLINK("https://www.youtube.com/watch?v=yt0XYibFwaY&amp;t=228s", "Go to time")</f>
        <v/>
      </c>
    </row>
    <row r="3562">
      <c r="A3562">
        <f>HYPERLINK("https://www.youtube.com/watch?v=yt0XYibFwaY", "Video")</f>
        <v/>
      </c>
      <c r="B3562" t="inlineStr">
        <is>
          <t>9:29</t>
        </is>
      </c>
      <c r="C3562" t="inlineStr">
        <is>
          <t>see ya drive safely</t>
        </is>
      </c>
      <c r="D3562">
        <f>HYPERLINK("https://www.youtube.com/watch?v=yt0XYibFwaY&amp;t=569s", "Go to time")</f>
        <v/>
      </c>
    </row>
    <row r="3563">
      <c r="A3563">
        <f>HYPERLINK("https://www.youtube.com/watch?v=uTT9zPrN84g", "Video")</f>
        <v/>
      </c>
      <c r="B3563" t="inlineStr">
        <is>
          <t>0:30</t>
        </is>
      </c>
      <c r="C3563" t="inlineStr">
        <is>
          <t>the event of a crash driver always</t>
        </is>
      </c>
      <c r="D3563">
        <f>HYPERLINK("https://www.youtube.com/watch?v=uTT9zPrN84g&amp;t=30s", "Go to time")</f>
        <v/>
      </c>
    </row>
    <row r="3564">
      <c r="A3564">
        <f>HYPERLINK("https://www.youtube.com/watch?v=uTT9zPrN84g", "Video")</f>
        <v/>
      </c>
      <c r="B3564" t="inlineStr">
        <is>
          <t>5:51</t>
        </is>
      </c>
      <c r="C3564" t="inlineStr">
        <is>
          <t>know how to drive</t>
        </is>
      </c>
      <c r="D3564">
        <f>HYPERLINK("https://www.youtube.com/watch?v=uTT9zPrN84g&amp;t=351s", "Go to time")</f>
        <v/>
      </c>
    </row>
    <row r="3565">
      <c r="A3565">
        <f>HYPERLINK("https://www.youtube.com/watch?v=R0035OsKwFc", "Video")</f>
        <v/>
      </c>
      <c r="B3565" t="inlineStr">
        <is>
          <t>6:59</t>
        </is>
      </c>
      <c r="C3565" t="inlineStr">
        <is>
          <t>to drive into a lake and I did it I did</t>
        </is>
      </c>
      <c r="D3565">
        <f>HYPERLINK("https://www.youtube.com/watch?v=R0035OsKwFc&amp;t=419s", "Go to time")</f>
        <v/>
      </c>
    </row>
    <row r="3566">
      <c r="A3566">
        <f>HYPERLINK("https://www.youtube.com/watch?v=q0C7-0Vj9Gs", "Video")</f>
        <v/>
      </c>
      <c r="B3566" t="inlineStr">
        <is>
          <t>6:54</t>
        </is>
      </c>
      <c r="C3566" t="inlineStr">
        <is>
          <t>your desk or it's going to drive me</t>
        </is>
      </c>
      <c r="D3566">
        <f>HYPERLINK("https://www.youtube.com/watch?v=q0C7-0Vj9Gs&amp;t=414s", "Go to time")</f>
        <v/>
      </c>
    </row>
    <row r="3567">
      <c r="A3567">
        <f>HYPERLINK("https://www.youtube.com/watch?v=q0C7-0Vj9Gs", "Video")</f>
        <v/>
      </c>
      <c r="B3567" t="inlineStr">
        <is>
          <t>14:11</t>
        </is>
      </c>
      <c r="C3567" t="inlineStr">
        <is>
          <t>drive down here you can make it in 30</t>
        </is>
      </c>
      <c r="D3567">
        <f>HYPERLINK("https://www.youtube.com/watch?v=q0C7-0Vj9Gs&amp;t=851s", "Go to time")</f>
        <v/>
      </c>
    </row>
    <row r="3568">
      <c r="A3568">
        <f>HYPERLINK("https://www.youtube.com/watch?v=q0C7-0Vj9Gs", "Video")</f>
        <v/>
      </c>
      <c r="B3568" t="inlineStr">
        <is>
          <t>14:13</t>
        </is>
      </c>
      <c r="C3568" t="inlineStr">
        <is>
          <t>minutes if you drive 240 m per hour huh</t>
        </is>
      </c>
      <c r="D3568">
        <f>HYPERLINK("https://www.youtube.com/watch?v=q0C7-0Vj9Gs&amp;t=853s", "Go to time")</f>
        <v/>
      </c>
    </row>
    <row r="3569">
      <c r="A3569">
        <f>HYPERLINK("https://www.youtube.com/watch?v=_iRX--L-fOo", "Video")</f>
        <v/>
      </c>
      <c r="B3569" t="inlineStr">
        <is>
          <t>1:14</t>
        </is>
      </c>
      <c r="C3569" t="inlineStr">
        <is>
          <t>drivein I</t>
        </is>
      </c>
      <c r="D3569">
        <f>HYPERLINK("https://www.youtube.com/watch?v=_iRX--L-fOo&amp;t=74s", "Go to time")</f>
        <v/>
      </c>
    </row>
    <row r="3570">
      <c r="A3570">
        <f>HYPERLINK("https://www.youtube.com/watch?v=0dzOt8gKv9Y", "Video")</f>
        <v/>
      </c>
      <c r="B3570" t="inlineStr">
        <is>
          <t>1:13</t>
        </is>
      </c>
      <c r="C3570" t="inlineStr">
        <is>
          <t>drive the</t>
        </is>
      </c>
      <c r="D3570">
        <f>HYPERLINK("https://www.youtube.com/watch?v=0dzOt8gKv9Y&amp;t=73s", "Go to time")</f>
        <v/>
      </c>
    </row>
    <row r="3571">
      <c r="A3571">
        <f>HYPERLINK("https://www.youtube.com/watch?v=hZ2XCDfLFVU", "Video")</f>
        <v/>
      </c>
      <c r="B3571" t="inlineStr">
        <is>
          <t>6:10</t>
        </is>
      </c>
      <c r="C3571" t="inlineStr">
        <is>
          <t>myself cry do that do it okay driver</t>
        </is>
      </c>
      <c r="D3571">
        <f>HYPERLINK("https://www.youtube.com/watch?v=hZ2XCDfLFVU&amp;t=370s", "Go to time")</f>
        <v/>
      </c>
    </row>
    <row r="3572">
      <c r="A3572">
        <f>HYPERLINK("https://www.youtube.com/watch?v=hZ2XCDfLFVU", "Video")</f>
        <v/>
      </c>
      <c r="B3572" t="inlineStr">
        <is>
          <t>6:12</t>
        </is>
      </c>
      <c r="C3572" t="inlineStr">
        <is>
          <t>driver if you're not gonna stop this bus</t>
        </is>
      </c>
      <c r="D3572">
        <f>HYPERLINK("https://www.youtube.com/watch?v=hZ2XCDfLFVU&amp;t=372s", "Go to time")</f>
        <v/>
      </c>
    </row>
    <row r="3573">
      <c r="A3573">
        <f>HYPERLINK("https://www.youtube.com/watch?v=a-G0KFFWk44", "Video")</f>
        <v/>
      </c>
      <c r="B3573" t="inlineStr">
        <is>
          <t>2:29</t>
        </is>
      </c>
      <c r="C3573" t="inlineStr">
        <is>
          <t>these days we could drive out to a field</t>
        </is>
      </c>
      <c r="D3573">
        <f>HYPERLINK("https://www.youtube.com/watch?v=a-G0KFFWk44&amp;t=149s", "Go to time")</f>
        <v/>
      </c>
    </row>
    <row r="3574">
      <c r="A3574">
        <f>HYPERLINK("https://www.youtube.com/watch?v=9Zp8UlxyjQ4", "Video")</f>
        <v/>
      </c>
      <c r="B3574" t="inlineStr">
        <is>
          <t>1:23</t>
        </is>
      </c>
      <c r="C3574" t="inlineStr">
        <is>
          <t>drive down here you can make it in 30</t>
        </is>
      </c>
      <c r="D3574">
        <f>HYPERLINK("https://www.youtube.com/watch?v=9Zp8UlxyjQ4&amp;t=83s", "Go to time")</f>
        <v/>
      </c>
    </row>
    <row r="3575">
      <c r="A3575">
        <f>HYPERLINK("https://www.youtube.com/watch?v=9Zp8UlxyjQ4", "Video")</f>
        <v/>
      </c>
      <c r="B3575" t="inlineStr">
        <is>
          <t>1:24</t>
        </is>
      </c>
      <c r="C3575" t="inlineStr">
        <is>
          <t>minutes if you drive 240</t>
        </is>
      </c>
      <c r="D3575">
        <f>HYPERLINK("https://www.youtube.com/watch?v=9Zp8UlxyjQ4&amp;t=84s", "Go to time")</f>
        <v/>
      </c>
    </row>
    <row r="3576">
      <c r="A3576">
        <f>HYPERLINK("https://www.youtube.com/watch?v=9Zp8UlxyjQ4", "Video")</f>
        <v/>
      </c>
      <c r="B3576" t="inlineStr">
        <is>
          <t>44:11</t>
        </is>
      </c>
      <c r="C3576" t="inlineStr">
        <is>
          <t>long the driver's been gone and it's not</t>
        </is>
      </c>
      <c r="D3576">
        <f>HYPERLINK("https://www.youtube.com/watch?v=9Zp8UlxyjQ4&amp;t=2651s", "Go to time")</f>
        <v/>
      </c>
    </row>
    <row r="3577">
      <c r="A3577">
        <f>HYPERLINK("https://www.youtube.com/watch?v=qTtFVmSUyV8", "Video")</f>
        <v/>
      </c>
      <c r="B3577" t="inlineStr">
        <is>
          <t>0:48</t>
        </is>
      </c>
      <c r="C3577" t="inlineStr">
        <is>
          <t>drives a Corvette he is doing just fine</t>
        </is>
      </c>
      <c r="D3577">
        <f>HYPERLINK("https://www.youtube.com/watch?v=qTtFVmSUyV8&amp;t=48s", "Go to time")</f>
        <v/>
      </c>
    </row>
    <row r="3578">
      <c r="A3578">
        <f>HYPERLINK("https://www.youtube.com/watch?v=9cgbsavrFpA", "Video")</f>
        <v/>
      </c>
      <c r="B3578" t="inlineStr">
        <is>
          <t>10:10</t>
        </is>
      </c>
      <c r="C3578" t="inlineStr">
        <is>
          <t>you drive your own car yup this is my</t>
        </is>
      </c>
      <c r="D3578">
        <f>HYPERLINK("https://www.youtube.com/watch?v=9cgbsavrFpA&amp;t=610s", "Go to time")</f>
        <v/>
      </c>
    </row>
    <row r="3579">
      <c r="A3579">
        <f>HYPERLINK("https://www.youtube.com/watch?v=9cgbsavrFpA", "Video")</f>
        <v/>
      </c>
      <c r="B3579" t="inlineStr">
        <is>
          <t>10:15</t>
        </is>
      </c>
      <c r="C3579" t="inlineStr">
        <is>
          <t>do you drive your own car yeah just like</t>
        </is>
      </c>
      <c r="D3579">
        <f>HYPERLINK("https://www.youtube.com/watch?v=9cgbsavrFpA&amp;t=615s", "Go to time")</f>
        <v/>
      </c>
    </row>
    <row r="3580">
      <c r="A3580">
        <f>HYPERLINK("https://www.youtube.com/watch?v=2au97QqaLQU", "Video")</f>
        <v/>
      </c>
      <c r="B3580" t="inlineStr">
        <is>
          <t>0:11</t>
        </is>
      </c>
      <c r="C3580" t="inlineStr">
        <is>
          <t>so I Drive a Saturn and the second guy</t>
        </is>
      </c>
      <c r="D3580">
        <f>HYPERLINK("https://www.youtube.com/watch?v=2au97QqaLQU&amp;t=11s", "Go to time")</f>
        <v/>
      </c>
    </row>
    <row r="3581">
      <c r="A3581">
        <f>HYPERLINK("https://www.youtube.com/watch?v=2au97QqaLQU", "Video")</f>
        <v/>
      </c>
      <c r="B3581" t="inlineStr">
        <is>
          <t>0:13</t>
        </is>
      </c>
      <c r="C3581" t="inlineStr">
        <is>
          <t>says well I am a pimp so I Drive a cheap</t>
        </is>
      </c>
      <c r="D3581">
        <f>HYPERLINK("https://www.youtube.com/watch?v=2au97QqaLQU&amp;t=13s", "Go to time")</f>
        <v/>
      </c>
    </row>
    <row r="3582">
      <c r="A3582">
        <f>HYPERLINK("https://www.youtube.com/watch?v=2au97QqaLQU", "Video")</f>
        <v/>
      </c>
      <c r="B3582" t="inlineStr">
        <is>
          <t>0:19</t>
        </is>
      </c>
      <c r="C3582" t="inlineStr">
        <is>
          <t>both beat I'm a proctologist so I Drive</t>
        </is>
      </c>
      <c r="D3582">
        <f>HYPERLINK("https://www.youtube.com/watch?v=2au97QqaLQU&amp;t=19s", "Go to time")</f>
        <v/>
      </c>
    </row>
    <row r="3583">
      <c r="A3583">
        <f>HYPERLINK("https://www.youtube.com/watch?v=_Qa16cO_AE0", "Video")</f>
        <v/>
      </c>
      <c r="B3583" t="inlineStr">
        <is>
          <t>0:29</t>
        </is>
      </c>
      <c r="C3583" t="inlineStr">
        <is>
          <t>did you have a nice Drive-In</t>
        </is>
      </c>
      <c r="D3583">
        <f>HYPERLINK("https://www.youtube.com/watch?v=_Qa16cO_AE0&amp;t=29s", "Go to time")</f>
        <v/>
      </c>
    </row>
    <row r="3584">
      <c r="A3584">
        <f>HYPERLINK("https://www.youtube.com/watch?v=bATPXjOKebI", "Video")</f>
        <v/>
      </c>
      <c r="B3584" t="inlineStr">
        <is>
          <t>7:48</t>
        </is>
      </c>
      <c r="C3584" t="inlineStr">
        <is>
          <t>Who drives like that?</t>
        </is>
      </c>
      <c r="D3584">
        <f>HYPERLINK("https://www.youtube.com/watch?v=bATPXjOKebI&amp;t=468s", "Go to time")</f>
        <v/>
      </c>
    </row>
    <row r="3585">
      <c r="A3585">
        <f>HYPERLINK("https://www.youtube.com/watch?v=VxjbtDGgkt4", "Video")</f>
        <v/>
      </c>
      <c r="B3585" t="inlineStr">
        <is>
          <t>10:35</t>
        </is>
      </c>
      <c r="C3585" t="inlineStr">
        <is>
          <t>to drive into a lake and I did it I did</t>
        </is>
      </c>
      <c r="D3585">
        <f>HYPERLINK("https://www.youtube.com/watch?v=VxjbtDGgkt4&amp;t=635s", "Go to time")</f>
        <v/>
      </c>
    </row>
    <row r="3586">
      <c r="A3586">
        <f>HYPERLINK("https://www.youtube.com/watch?v=VIRjJO7WnPQ", "Video")</f>
        <v/>
      </c>
      <c r="B3586" t="inlineStr">
        <is>
          <t>2:39</t>
        </is>
      </c>
      <c r="C3586" t="inlineStr">
        <is>
          <t>drive safe everybody knows I go to</t>
        </is>
      </c>
      <c r="D3586">
        <f>HYPERLINK("https://www.youtube.com/watch?v=VIRjJO7WnPQ&amp;t=159s", "Go to time")</f>
        <v/>
      </c>
    </row>
    <row r="3587">
      <c r="A3587">
        <f>HYPERLINK("https://www.youtube.com/watch?v=abWhkYxJi0w", "Video")</f>
        <v/>
      </c>
      <c r="B3587" t="inlineStr">
        <is>
          <t>1:46</t>
        </is>
      </c>
      <c r="C3587" t="inlineStr">
        <is>
          <t>drive Jim why don't you drive fine we'll</t>
        </is>
      </c>
      <c r="D3587">
        <f>HYPERLINK("https://www.youtube.com/watch?v=abWhkYxJi0w&amp;t=106s", "Go to time")</f>
        <v/>
      </c>
    </row>
    <row r="3588">
      <c r="A3588">
        <f>HYPERLINK("https://www.youtube.com/watch?v=EXchr8GaUOc", "Video")</f>
        <v/>
      </c>
      <c r="B3588" t="inlineStr">
        <is>
          <t>5:07</t>
        </is>
      </c>
      <c r="C3588" t="inlineStr">
        <is>
          <t>could drive out to the field crank up</t>
        </is>
      </c>
      <c r="D3588">
        <f>HYPERLINK("https://www.youtube.com/watch?v=EXchr8GaUOc&amp;t=307s", "Go to time")</f>
        <v/>
      </c>
    </row>
    <row r="3589">
      <c r="A3589">
        <f>HYPERLINK("https://www.youtube.com/watch?v=EXchr8GaUOc", "Video")</f>
        <v/>
      </c>
      <c r="B3589" t="inlineStr">
        <is>
          <t>7:08</t>
        </is>
      </c>
      <c r="C3589" t="inlineStr">
        <is>
          <t>a crash driver always protects his side</t>
        </is>
      </c>
      <c r="D3589">
        <f>HYPERLINK("https://www.youtube.com/watch?v=EXchr8GaUOc&amp;t=428s", "Go to time")</f>
        <v/>
      </c>
    </row>
    <row r="3590">
      <c r="A3590">
        <f>HYPERLINK("https://www.youtube.com/watch?v=toXzQkX7NQw", "Video")</f>
        <v/>
      </c>
      <c r="B3590" t="inlineStr">
        <is>
          <t>1:04</t>
        </is>
      </c>
      <c r="C3590" t="inlineStr">
        <is>
          <t>drink and drive because you may hit a</t>
        </is>
      </c>
      <c r="D3590">
        <f>HYPERLINK("https://www.youtube.com/watch?v=toXzQkX7NQw&amp;t=64s", "Go to time")</f>
        <v/>
      </c>
    </row>
    <row r="3591">
      <c r="A3591">
        <f>HYPERLINK("https://www.youtube.com/watch?v=hB1cIRfpjyU", "Video")</f>
        <v/>
      </c>
      <c r="B3591" t="inlineStr">
        <is>
          <t>15:44</t>
        </is>
      </c>
      <c r="C3591" t="inlineStr">
        <is>
          <t>please drive around</t>
        </is>
      </c>
      <c r="D3591">
        <f>HYPERLINK("https://www.youtube.com/watch?v=hB1cIRfpjyU&amp;t=944s", "Go to time")</f>
        <v/>
      </c>
    </row>
    <row r="3592">
      <c r="A3592">
        <f>HYPERLINK("https://www.youtube.com/watch?v=hB1cIRfpjyU", "Video")</f>
        <v/>
      </c>
      <c r="B3592" t="inlineStr">
        <is>
          <t>24:59</t>
        </is>
      </c>
      <c r="C3592" t="inlineStr">
        <is>
          <t>so how's the drive in uh nobody knows</t>
        </is>
      </c>
      <c r="D3592">
        <f>HYPERLINK("https://www.youtube.com/watch?v=hB1cIRfpjyU&amp;t=1499s", "Go to time")</f>
        <v/>
      </c>
    </row>
    <row r="3593">
      <c r="A3593">
        <f>HYPERLINK("https://www.youtube.com/watch?v=hB1cIRfpjyU", "Video")</f>
        <v/>
      </c>
      <c r="B3593" t="inlineStr">
        <is>
          <t>25:01</t>
        </is>
      </c>
      <c r="C3593" t="inlineStr">
        <is>
          <t>how to drive in the rain you don't say</t>
        </is>
      </c>
      <c r="D3593">
        <f>HYPERLINK("https://www.youtube.com/watch?v=hB1cIRfpjyU&amp;t=1501s", "Go to time")</f>
        <v/>
      </c>
    </row>
    <row r="3594">
      <c r="A3594">
        <f>HYPERLINK("https://www.youtube.com/watch?v=hB1cIRfpjyU", "Video")</f>
        <v/>
      </c>
      <c r="B3594" t="inlineStr">
        <is>
          <t>35:26</t>
        </is>
      </c>
      <c r="C3594" t="inlineStr">
        <is>
          <t>your desk or it's gonna drive me insane</t>
        </is>
      </c>
      <c r="D3594">
        <f>HYPERLINK("https://www.youtube.com/watch?v=hB1cIRfpjyU&amp;t=2126s", "Go to time")</f>
        <v/>
      </c>
    </row>
    <row r="3595">
      <c r="A3595">
        <f>HYPERLINK("https://www.youtube.com/watch?v=k7DC-0HeniU", "Video")</f>
        <v/>
      </c>
      <c r="B3595" t="inlineStr">
        <is>
          <t>2:31</t>
        </is>
      </c>
      <c r="C3595" t="inlineStr">
        <is>
          <t>would drive down here and apologize to</t>
        </is>
      </c>
      <c r="D3595">
        <f>HYPERLINK("https://www.youtube.com/watch?v=k7DC-0HeniU&amp;t=151s", "Go to time")</f>
        <v/>
      </c>
    </row>
    <row r="3596">
      <c r="A3596">
        <f>HYPERLINK("https://www.youtube.com/watch?v=CpvHx0R2Ytc", "Video")</f>
        <v/>
      </c>
      <c r="B3596" t="inlineStr">
        <is>
          <t>0:47</t>
        </is>
      </c>
      <c r="C3596" t="inlineStr">
        <is>
          <t>they're always driven by chicks so</t>
        </is>
      </c>
      <c r="D3596">
        <f>HYPERLINK("https://www.youtube.com/watch?v=CpvHx0R2Ytc&amp;t=47s", "Go to time")</f>
        <v/>
      </c>
    </row>
    <row r="3597">
      <c r="A3597">
        <f>HYPERLINK("https://www.youtube.com/watch?v=CpvHx0R2Ytc", "Video")</f>
        <v/>
      </c>
      <c r="B3597" t="inlineStr">
        <is>
          <t>1:06</t>
        </is>
      </c>
      <c r="C3597" t="inlineStr">
        <is>
          <t>drive it off a cliff</t>
        </is>
      </c>
      <c r="D3597">
        <f>HYPERLINK("https://www.youtube.com/watch?v=CpvHx0R2Ytc&amp;t=66s", "Go to time")</f>
        <v/>
      </c>
    </row>
    <row r="3598">
      <c r="A3598">
        <f>HYPERLINK("https://www.youtube.com/watch?v=RFQRM1B2AKA", "Video")</f>
        <v/>
      </c>
      <c r="B3598" t="inlineStr">
        <is>
          <t>1:13</t>
        </is>
      </c>
      <c r="C3598" t="inlineStr">
        <is>
          <t>i saw all your hard drives and guess</t>
        </is>
      </c>
      <c r="D3598">
        <f>HYPERLINK("https://www.youtube.com/watch?v=RFQRM1B2AKA&amp;t=73s", "Go to time")</f>
        <v/>
      </c>
    </row>
    <row r="3599">
      <c r="A3599">
        <f>HYPERLINK("https://www.youtube.com/watch?v=RFQRM1B2AKA", "Video")</f>
        <v/>
      </c>
      <c r="B3599" t="inlineStr">
        <is>
          <t>1:33</t>
        </is>
      </c>
      <c r="C3599" t="inlineStr">
        <is>
          <t>hard drive but this guy's a snitch he's</t>
        </is>
      </c>
      <c r="D3599">
        <f>HYPERLINK("https://www.youtube.com/watch?v=RFQRM1B2AKA&amp;t=93s", "Go to time")</f>
        <v/>
      </c>
    </row>
    <row r="3600">
      <c r="A3600">
        <f>HYPERLINK("https://www.youtube.com/watch?v=GdP8Jb51Zzo", "Video")</f>
        <v/>
      </c>
      <c r="B3600" t="inlineStr">
        <is>
          <t>0:08</t>
        </is>
      </c>
      <c r="C3600" t="inlineStr">
        <is>
          <t>philly that's a drive</t>
        </is>
      </c>
      <c r="D3600">
        <f>HYPERLINK("https://www.youtube.com/watch?v=GdP8Jb51Zzo&amp;t=8s", "Go to time")</f>
        <v/>
      </c>
    </row>
    <row r="3601">
      <c r="A3601">
        <f>HYPERLINK("https://www.youtube.com/watch?v=CZZrFC2MFAw", "Video")</f>
        <v/>
      </c>
      <c r="B3601" t="inlineStr">
        <is>
          <t>2:19</t>
        </is>
      </c>
      <c r="C3601" t="inlineStr">
        <is>
          <t>that's too small drive my daughter to a</t>
        </is>
      </c>
      <c r="D3601">
        <f>HYPERLINK("https://www.youtube.com/watch?v=CZZrFC2MFAw&amp;t=139s", "Go to time")</f>
        <v/>
      </c>
    </row>
    <row r="3602">
      <c r="A3602">
        <f>HYPERLINK("https://www.youtube.com/watch?v=CZZrFC2MFAw", "Video")</f>
        <v/>
      </c>
      <c r="B3602" t="inlineStr">
        <is>
          <t>12:18</t>
        </is>
      </c>
      <c r="C3602" t="inlineStr">
        <is>
          <t>minina my how's the drive fantastic</t>
        </is>
      </c>
      <c r="D3602">
        <f>HYPERLINK("https://www.youtube.com/watch?v=CZZrFC2MFAw&amp;t=738s", "Go to time")</f>
        <v/>
      </c>
    </row>
    <row r="3603">
      <c r="A3603">
        <f>HYPERLINK("https://www.youtube.com/watch?v=CZZrFC2MFAw", "Video")</f>
        <v/>
      </c>
      <c r="B3603" t="inlineStr">
        <is>
          <t>12:22</t>
        </is>
      </c>
      <c r="C3603" t="inlineStr">
        <is>
          <t>sanley drives so fast life is short</t>
        </is>
      </c>
      <c r="D3603">
        <f>HYPERLINK("https://www.youtube.com/watch?v=CZZrFC2MFAw&amp;t=742s", "Go to time")</f>
        <v/>
      </c>
    </row>
    <row r="3604">
      <c r="A3604">
        <f>HYPERLINK("https://www.youtube.com/watch?v=CZZrFC2MFAw", "Video")</f>
        <v/>
      </c>
      <c r="B3604" t="inlineStr">
        <is>
          <t>12:24</t>
        </is>
      </c>
      <c r="C3604" t="inlineStr">
        <is>
          <t>drive fast to leave a sexy corpse that's</t>
        </is>
      </c>
      <c r="D3604">
        <f>HYPERLINK("https://www.youtube.com/watch?v=CZZrFC2MFAw&amp;t=744s", "Go to time")</f>
        <v/>
      </c>
    </row>
    <row r="3605">
      <c r="A3605">
        <f>HYPERLINK("https://www.youtube.com/watch?v=Dz5KyKigBTE", "Video")</f>
        <v/>
      </c>
      <c r="B3605" t="inlineStr">
        <is>
          <t>4:59</t>
        </is>
      </c>
      <c r="C3605" t="inlineStr">
        <is>
          <t>your desk it's going to drive me insane</t>
        </is>
      </c>
      <c r="D3605">
        <f>HYPERLINK("https://www.youtube.com/watch?v=Dz5KyKigBTE&amp;t=299s", "Go to time")</f>
        <v/>
      </c>
    </row>
    <row r="3606">
      <c r="A3606">
        <f>HYPERLINK("https://www.youtube.com/watch?v=Dz5KyKigBTE", "Video")</f>
        <v/>
      </c>
      <c r="B3606" t="inlineStr">
        <is>
          <t>10:04</t>
        </is>
      </c>
      <c r="C3606" t="inlineStr">
        <is>
          <t>driver's license why don't we just call</t>
        </is>
      </c>
      <c r="D3606">
        <f>HYPERLINK("https://www.youtube.com/watch?v=Dz5KyKigBTE&amp;t=604s", "Go to time")</f>
        <v/>
      </c>
    </row>
    <row r="3607">
      <c r="A3607">
        <f>HYPERLINK("https://www.youtube.com/watch?v=5J9SFmdDIoU", "Video")</f>
        <v/>
      </c>
      <c r="B3607" t="inlineStr">
        <is>
          <t>6:22</t>
        </is>
      </c>
      <c r="C3607" t="inlineStr">
        <is>
          <t>drive them in</t>
        </is>
      </c>
      <c r="D3607">
        <f>HYPERLINK("https://www.youtube.com/watch?v=5J9SFmdDIoU&amp;t=382s", "Go to time")</f>
        <v/>
      </c>
    </row>
    <row r="3608">
      <c r="A3608">
        <f>HYPERLINK("https://www.youtube.com/watch?v=5J9SFmdDIoU", "Video")</f>
        <v/>
      </c>
      <c r="B3608" t="inlineStr">
        <is>
          <t>6:27</t>
        </is>
      </c>
      <c r="C3608" t="inlineStr">
        <is>
          <t>I I drive a smart car that's not Smart</t>
        </is>
      </c>
      <c r="D3608">
        <f>HYPERLINK("https://www.youtube.com/watch?v=5J9SFmdDIoU&amp;t=387s", "Go to time")</f>
        <v/>
      </c>
    </row>
    <row r="3609">
      <c r="A3609">
        <f>HYPERLINK("https://www.youtube.com/watch?v=5J9SFmdDIoU", "Video")</f>
        <v/>
      </c>
      <c r="B3609" t="inlineStr">
        <is>
          <t>7:34</t>
        </is>
      </c>
      <c r="C3609" t="inlineStr">
        <is>
          <t>you to teach me how to drive stick like</t>
        </is>
      </c>
      <c r="D3609">
        <f>HYPERLINK("https://www.youtube.com/watch?v=5J9SFmdDIoU&amp;t=454s", "Go to time")</f>
        <v/>
      </c>
    </row>
    <row r="3610">
      <c r="A3610">
        <f>HYPERLINK("https://www.youtube.com/watch?v=vIoNOs2UIAw", "Video")</f>
        <v/>
      </c>
      <c r="B3610" t="inlineStr">
        <is>
          <t>5:01</t>
        </is>
      </c>
      <c r="C3610" t="inlineStr">
        <is>
          <t>drive out to a field crank up some tunes</t>
        </is>
      </c>
      <c r="D3610">
        <f>HYPERLINK("https://www.youtube.com/watch?v=vIoNOs2UIAw&amp;t=301s", "Go to time")</f>
        <v/>
      </c>
    </row>
    <row r="3611">
      <c r="A3611">
        <f>HYPERLINK("https://www.youtube.com/watch?v=tLFWwzyDGM8", "Video")</f>
        <v/>
      </c>
      <c r="B3611" t="inlineStr">
        <is>
          <t>17:07</t>
        </is>
      </c>
      <c r="C3611" t="inlineStr">
        <is>
          <t>care on the drive-in today we were</t>
        </is>
      </c>
      <c r="D3611">
        <f>HYPERLINK("https://www.youtube.com/watch?v=tLFWwzyDGM8&amp;t=1027s", "Go to time")</f>
        <v/>
      </c>
    </row>
    <row r="3612">
      <c r="A3612">
        <f>HYPERLINK("https://www.youtube.com/watch?v=G0sDekumv7E", "Video")</f>
        <v/>
      </c>
      <c r="B3612" t="inlineStr">
        <is>
          <t>13:00</t>
        </is>
      </c>
      <c r="C3612" t="inlineStr">
        <is>
          <t>perspectives must drive you</t>
        </is>
      </c>
      <c r="D3612">
        <f>HYPERLINK("https://www.youtube.com/watch?v=G0sDekumv7E&amp;t=780s", "Go to time")</f>
        <v/>
      </c>
    </row>
    <row r="3613">
      <c r="A3613">
        <f>HYPERLINK("https://www.youtube.com/watch?v=N56tjXt6JoY", "Video")</f>
        <v/>
      </c>
      <c r="B3613" t="inlineStr">
        <is>
          <t>0:16</t>
        </is>
      </c>
      <c r="C3613" t="inlineStr">
        <is>
          <t>I did the math, I have to drive way longer than you.</t>
        </is>
      </c>
      <c r="D3613">
        <f>HYPERLINK("https://www.youtube.com/watch?v=N56tjXt6JoY&amp;t=16s", "Go to time")</f>
        <v/>
      </c>
    </row>
    <row r="3614">
      <c r="A3614">
        <f>HYPERLINK("https://www.youtube.com/watch?v=ZMTxLRxiiC8", "Video")</f>
        <v/>
      </c>
      <c r="B3614" t="inlineStr">
        <is>
          <t>0:13</t>
        </is>
      </c>
      <c r="C3614" t="inlineStr">
        <is>
          <t>could drive and that takes one minute we</t>
        </is>
      </c>
      <c r="D3614">
        <f>HYPERLINK("https://www.youtube.com/watch?v=ZMTxLRxiiC8&amp;t=13s", "Go to time")</f>
        <v/>
      </c>
    </row>
    <row r="3615">
      <c r="A3615">
        <f>HYPERLINK("https://www.youtube.com/watch?v=b0mOY7OMHh4", "Video")</f>
        <v/>
      </c>
      <c r="B3615" t="inlineStr">
        <is>
          <t>0:30</t>
        </is>
      </c>
      <c r="C3615" t="inlineStr">
        <is>
          <t>said warrant he will drive over here and</t>
        </is>
      </c>
      <c r="D3615">
        <f>HYPERLINK("https://www.youtube.com/watch?v=b0mOY7OMHh4&amp;t=30s", "Go to time")</f>
        <v/>
      </c>
    </row>
    <row r="3616">
      <c r="A3616">
        <f>HYPERLINK("https://www.youtube.com/watch?v=Ma_IoPZHirw", "Video")</f>
        <v/>
      </c>
      <c r="B3616" t="inlineStr">
        <is>
          <t>3:55</t>
        </is>
      </c>
      <c r="C3616" t="inlineStr">
        <is>
          <t>unsafe to talk to a driver okay driver</t>
        </is>
      </c>
      <c r="D3616">
        <f>HYPERLINK("https://www.youtube.com/watch?v=Ma_IoPZHirw&amp;t=235s", "Go to time")</f>
        <v/>
      </c>
    </row>
    <row r="3617">
      <c r="A3617">
        <f>HYPERLINK("https://www.youtube.com/watch?v=Ma_IoPZHirw", "Video")</f>
        <v/>
      </c>
      <c r="B3617" t="inlineStr">
        <is>
          <t>3:57</t>
        </is>
      </c>
      <c r="C3617" t="inlineStr">
        <is>
          <t>driver if you're not gonna stop this bus</t>
        </is>
      </c>
      <c r="D3617">
        <f>HYPERLINK("https://www.youtube.com/watch?v=Ma_IoPZHirw&amp;t=237s", "Go to time")</f>
        <v/>
      </c>
    </row>
    <row r="3618">
      <c r="A3618">
        <f>HYPERLINK("https://www.youtube.com/watch?v=TZawOf27I9s", "Video")</f>
        <v/>
      </c>
      <c r="B3618" t="inlineStr">
        <is>
          <t>5:17</t>
        </is>
      </c>
      <c r="C3618" t="inlineStr">
        <is>
          <t>to drive I will drive you chck got it</t>
        </is>
      </c>
      <c r="D3618">
        <f>HYPERLINK("https://www.youtube.com/watch?v=TZawOf27I9s&amp;t=317s", "Go to time")</f>
        <v/>
      </c>
    </row>
    <row r="3619">
      <c r="A3619">
        <f>HYPERLINK("https://www.youtube.com/watch?v=bskdOrWMwD0", "Video")</f>
        <v/>
      </c>
      <c r="B3619" t="inlineStr">
        <is>
          <t>3:59</t>
        </is>
      </c>
      <c r="C3619" t="inlineStr">
        <is>
          <t>maybe one these days we can drive out to</t>
        </is>
      </c>
      <c r="D3619">
        <f>HYPERLINK("https://www.youtube.com/watch?v=bskdOrWMwD0&amp;t=239s", "Go to time")</f>
        <v/>
      </c>
    </row>
    <row r="3620">
      <c r="A3620">
        <f>HYPERLINK("https://www.youtube.com/watch?v=mRox23WtU_4", "Video")</f>
        <v/>
      </c>
      <c r="B3620" t="inlineStr">
        <is>
          <t>5:25</t>
        </is>
      </c>
      <c r="C3620" t="inlineStr">
        <is>
          <t>He drives a Corvette.
He is doing just fine.</t>
        </is>
      </c>
      <c r="D3620">
        <f>HYPERLINK("https://www.youtube.com/watch?v=mRox23WtU_4&amp;t=325s", "Go to time")</f>
        <v/>
      </c>
    </row>
    <row r="3621">
      <c r="A3621">
        <f>HYPERLINK("https://www.youtube.com/watch?v=xxExDYX56N4", "Video")</f>
        <v/>
      </c>
      <c r="B3621" t="inlineStr">
        <is>
          <t>9:35</t>
        </is>
      </c>
      <c r="C3621" t="inlineStr">
        <is>
          <t>drives on that I love you and I don't</t>
        </is>
      </c>
      <c r="D3621">
        <f>HYPERLINK("https://www.youtube.com/watch?v=xxExDYX56N4&amp;t=575s", "Go to time")</f>
        <v/>
      </c>
    </row>
    <row r="3622">
      <c r="A3622">
        <f>HYPERLINK("https://www.youtube.com/watch?v=XXjStnr_g3M", "Video")</f>
        <v/>
      </c>
      <c r="B3622" t="inlineStr">
        <is>
          <t>0:54</t>
        </is>
      </c>
      <c r="C3622" t="inlineStr">
        <is>
          <t>please do not drink and drive because</t>
        </is>
      </c>
      <c r="D3622">
        <f>HYPERLINK("https://www.youtube.com/watch?v=XXjStnr_g3M&amp;t=54s", "Go to time")</f>
        <v/>
      </c>
    </row>
    <row r="3623">
      <c r="A3623">
        <f>HYPERLINK("https://www.youtube.com/watch?v=7v-NHYp2l60", "Video")</f>
        <v/>
      </c>
      <c r="B3623" t="inlineStr">
        <is>
          <t>9:09</t>
        </is>
      </c>
      <c r="C3623" t="inlineStr">
        <is>
          <t>come on drive you</t>
        </is>
      </c>
      <c r="D3623">
        <f>HYPERLINK("https://www.youtube.com/watch?v=7v-NHYp2l60&amp;t=549s", "Go to time")</f>
        <v/>
      </c>
    </row>
    <row r="3624">
      <c r="A3624">
        <f>HYPERLINK("https://www.youtube.com/watch?v=7v-NHYp2l60", "Video")</f>
        <v/>
      </c>
      <c r="B3624" t="inlineStr">
        <is>
          <t>9:13</t>
        </is>
      </c>
      <c r="C3624" t="inlineStr">
        <is>
          <t>drive I can't help but think that</t>
        </is>
      </c>
      <c r="D3624">
        <f>HYPERLINK("https://www.youtube.com/watch?v=7v-NHYp2l60&amp;t=553s", "Go to time")</f>
        <v/>
      </c>
    </row>
    <row r="3625">
      <c r="A3625">
        <f>HYPERLINK("https://www.youtube.com/watch?v=YB7Cc-M7DSI", "Video")</f>
        <v/>
      </c>
      <c r="B3625" t="inlineStr">
        <is>
          <t>4:08</t>
        </is>
      </c>
      <c r="C3625" t="inlineStr">
        <is>
          <t>oh big time what kind of car she drive</t>
        </is>
      </c>
      <c r="D3625">
        <f>HYPERLINK("https://www.youtube.com/watch?v=YB7Cc-M7DSI&amp;t=248s", "Go to time")</f>
        <v/>
      </c>
    </row>
    <row r="3626">
      <c r="A3626">
        <f>HYPERLINK("https://www.youtube.com/watch?v=YB7Cc-M7DSI", "Video")</f>
        <v/>
      </c>
      <c r="B3626" t="inlineStr">
        <is>
          <t>4:10</t>
        </is>
      </c>
      <c r="C3626" t="inlineStr">
        <is>
          <t>she drives a green camera and the seats</t>
        </is>
      </c>
      <c r="D3626">
        <f>HYPERLINK("https://www.youtube.com/watch?v=YB7Cc-M7DSI&amp;t=250s", "Go to time")</f>
        <v/>
      </c>
    </row>
    <row r="3627">
      <c r="A3627">
        <f>HYPERLINK("https://www.youtube.com/watch?v=SdE90SfJZBQ", "Video")</f>
        <v/>
      </c>
      <c r="B3627" t="inlineStr">
        <is>
          <t>3:38</t>
        </is>
      </c>
      <c r="C3627" t="inlineStr">
        <is>
          <t>drive you guys to the hospital and here</t>
        </is>
      </c>
      <c r="D3627">
        <f>HYPERLINK("https://www.youtube.com/watch?v=SdE90SfJZBQ&amp;t=218s", "Go to time")</f>
        <v/>
      </c>
    </row>
    <row r="3628">
      <c r="A3628">
        <f>HYPERLINK("https://www.youtube.com/watch?v=SdE90SfJZBQ", "Video")</f>
        <v/>
      </c>
      <c r="B3628" t="inlineStr">
        <is>
          <t>3:40</t>
        </is>
      </c>
      <c r="C3628" t="inlineStr">
        <is>
          <t>is why I am a licensed Class C driver in</t>
        </is>
      </c>
      <c r="D3628">
        <f>HYPERLINK("https://www.youtube.com/watch?v=SdE90SfJZBQ&amp;t=220s", "Go to time")</f>
        <v/>
      </c>
    </row>
    <row r="3629">
      <c r="A3629">
        <f>HYPERLINK("https://www.youtube.com/watch?v=zTYSTk8iLsM", "Video")</f>
        <v/>
      </c>
      <c r="B3629" t="inlineStr">
        <is>
          <t>1:36</t>
        </is>
      </c>
      <c r="C3629" t="inlineStr">
        <is>
          <t>tables Xerox her driver's license and</t>
        </is>
      </c>
      <c r="D3629">
        <f>HYPERLINK("https://www.youtube.com/watch?v=zTYSTk8iLsM&amp;t=96s", "Go to time")</f>
        <v/>
      </c>
    </row>
    <row r="3630">
      <c r="A3630">
        <f>HYPERLINK("https://www.youtube.com/watch?v=zTYSTk8iLsM", "Video")</f>
        <v/>
      </c>
      <c r="B3630" t="inlineStr">
        <is>
          <t>10:17</t>
        </is>
      </c>
      <c r="C3630" t="inlineStr">
        <is>
          <t>myself I can deliver food I can drive a</t>
        </is>
      </c>
      <c r="D3630">
        <f>HYPERLINK("https://www.youtube.com/watch?v=zTYSTk8iLsM&amp;t=617s", "Go to time")</f>
        <v/>
      </c>
    </row>
    <row r="3631">
      <c r="A3631">
        <f>HYPERLINK("https://www.youtube.com/watch?v=SfXwLwhC4HM", "Video")</f>
        <v/>
      </c>
      <c r="B3631" t="inlineStr">
        <is>
          <t>9:06</t>
        </is>
      </c>
      <c r="C3631" t="inlineStr">
        <is>
          <t>cars to drive she drives a green Camry</t>
        </is>
      </c>
      <c r="D3631">
        <f>HYPERLINK("https://www.youtube.com/watch?v=SfXwLwhC4HM&amp;t=546s", "Go to time")</f>
        <v/>
      </c>
    </row>
    <row r="3632">
      <c r="A3632">
        <f>HYPERLINK("https://www.youtube.com/watch?v=Q-JLUbpfW-U", "Video")</f>
        <v/>
      </c>
      <c r="B3632" t="inlineStr">
        <is>
          <t>9:11</t>
        </is>
      </c>
      <c r="C3632" t="inlineStr">
        <is>
          <t>everybody here yeah then Mr driver we</t>
        </is>
      </c>
      <c r="D3632">
        <f>HYPERLINK("https://www.youtube.com/watch?v=Q-JLUbpfW-U&amp;t=551s", "Go to time")</f>
        <v/>
      </c>
    </row>
    <row r="3633">
      <c r="A3633">
        <f>HYPERLINK("https://www.youtube.com/watch?v=NJ56MlGrpfA", "Video")</f>
        <v/>
      </c>
      <c r="B3633" t="inlineStr">
        <is>
          <t>0:17</t>
        </is>
      </c>
      <c r="C3633" t="inlineStr">
        <is>
          <t>can you even drive them in traffic yeah</t>
        </is>
      </c>
      <c r="D3633">
        <f>HYPERLINK("https://www.youtube.com/watch?v=NJ56MlGrpfA&amp;t=17s", "Go to time")</f>
        <v/>
      </c>
    </row>
    <row r="3634">
      <c r="A3634">
        <f>HYPERLINK("https://www.youtube.com/watch?v=NJ56MlGrpfA", "Video")</f>
        <v/>
      </c>
      <c r="B3634" t="inlineStr">
        <is>
          <t>0:20</t>
        </is>
      </c>
      <c r="C3634" t="inlineStr">
        <is>
          <t>I'm so smart equals mc-squared I Drive a</t>
        </is>
      </c>
      <c r="D3634">
        <f>HYPERLINK("https://www.youtube.com/watch?v=NJ56MlGrpfA&amp;t=20s", "Go to time")</f>
        <v/>
      </c>
    </row>
    <row r="3635">
      <c r="A3635">
        <f>HYPERLINK("https://www.youtube.com/watch?v=NJ56MlGrpfA", "Video")</f>
        <v/>
      </c>
      <c r="B3635" t="inlineStr">
        <is>
          <t>1:31</t>
        </is>
      </c>
      <c r="C3635" t="inlineStr">
        <is>
          <t>me how to drive stick like a year</t>
        </is>
      </c>
      <c r="D3635">
        <f>HYPERLINK("https://www.youtube.com/watch?v=NJ56MlGrpfA&amp;t=91s", "Go to time")</f>
        <v/>
      </c>
    </row>
    <row r="3636">
      <c r="A3636">
        <f>HYPERLINK("https://www.youtube.com/watch?v=EpSmkaEtJIU", "Video")</f>
        <v/>
      </c>
      <c r="B3636" t="inlineStr">
        <is>
          <t>0:24</t>
        </is>
      </c>
      <c r="C3636" t="inlineStr">
        <is>
          <t>don't know how long the drivers been</t>
        </is>
      </c>
      <c r="D3636">
        <f>HYPERLINK("https://www.youtube.com/watch?v=EpSmkaEtJIU&amp;t=24s", "Go to time")</f>
        <v/>
      </c>
    </row>
    <row r="3637">
      <c r="A3637">
        <f>HYPERLINK("https://www.youtube.com/watch?v=btxGjqaFcZY", "Video")</f>
        <v/>
      </c>
      <c r="B3637" t="inlineStr">
        <is>
          <t>5:35</t>
        </is>
      </c>
      <c r="C3637" t="inlineStr">
        <is>
          <t>minina how's the drive fantastic Stanley</t>
        </is>
      </c>
      <c r="D3637">
        <f>HYPERLINK("https://www.youtube.com/watch?v=btxGjqaFcZY&amp;t=335s", "Go to time")</f>
        <v/>
      </c>
    </row>
    <row r="3638">
      <c r="A3638">
        <f>HYPERLINK("https://www.youtube.com/watch?v=btxGjqaFcZY", "Video")</f>
        <v/>
      </c>
      <c r="B3638" t="inlineStr">
        <is>
          <t>5:38</t>
        </is>
      </c>
      <c r="C3638" t="inlineStr">
        <is>
          <t>drives so fast life is short drive fast</t>
        </is>
      </c>
      <c r="D3638">
        <f>HYPERLINK("https://www.youtube.com/watch?v=btxGjqaFcZY&amp;t=338s", "Go to time")</f>
        <v/>
      </c>
    </row>
    <row r="3639">
      <c r="A3639">
        <f>HYPERLINK("https://www.youtube.com/watch?v=jgQEZ3B-oTI", "Video")</f>
        <v/>
      </c>
      <c r="B3639" t="inlineStr">
        <is>
          <t>1:08</t>
        </is>
      </c>
      <c r="C3639" t="inlineStr">
        <is>
          <t>but I'm not going to drive home to</t>
        </is>
      </c>
      <c r="D3639">
        <f>HYPERLINK("https://www.youtube.com/watch?v=jgQEZ3B-oTI&amp;t=68s", "Go to time")</f>
        <v/>
      </c>
    </row>
    <row r="3640">
      <c r="A3640">
        <f>HYPERLINK("https://www.youtube.com/watch?v=bpU2QwWvupg", "Video")</f>
        <v/>
      </c>
      <c r="B3640" t="inlineStr">
        <is>
          <t>25:50</t>
        </is>
      </c>
      <c r="C3640" t="inlineStr">
        <is>
          <t>about Phil he drives a corvetti is doing</t>
        </is>
      </c>
      <c r="D3640">
        <f>HYPERLINK("https://www.youtube.com/watch?v=bpU2QwWvupg&amp;t=1550s", "Go to time")</f>
        <v/>
      </c>
    </row>
    <row r="3641">
      <c r="A3641">
        <f>HYPERLINK("https://www.youtube.com/watch?v=bpU2QwWvupg", "Video")</f>
        <v/>
      </c>
      <c r="B3641" t="inlineStr">
        <is>
          <t>53:37</t>
        </is>
      </c>
      <c r="C3641" t="inlineStr">
        <is>
          <t>drive</t>
        </is>
      </c>
      <c r="D3641">
        <f>HYPERLINK("https://www.youtube.com/watch?v=bpU2QwWvupg&amp;t=3217s", "Go to time")</f>
        <v/>
      </c>
    </row>
    <row r="3642">
      <c r="A3642">
        <f>HYPERLINK("https://www.youtube.com/watch?v=bpU2QwWvupg", "Video")</f>
        <v/>
      </c>
      <c r="B3642" t="inlineStr">
        <is>
          <t>55:45</t>
        </is>
      </c>
      <c r="C3642" t="inlineStr">
        <is>
          <t>getting their driver's license why don't</t>
        </is>
      </c>
      <c r="D3642">
        <f>HYPERLINK("https://www.youtube.com/watch?v=bpU2QwWvupg&amp;t=3345s", "Go to time")</f>
        <v/>
      </c>
    </row>
    <row r="3643">
      <c r="A3643">
        <f>HYPERLINK("https://www.youtube.com/watch?v=1-BD_gYoA4k", "Video")</f>
        <v/>
      </c>
      <c r="B3643" t="inlineStr">
        <is>
          <t>5:27</t>
        </is>
      </c>
      <c r="C3643" t="inlineStr">
        <is>
          <t>F uh driver pull over this by</t>
        </is>
      </c>
      <c r="D3643">
        <f>HYPERLINK("https://www.youtube.com/watch?v=1-BD_gYoA4k&amp;t=327s", "Go to time")</f>
        <v/>
      </c>
    </row>
    <row r="3644">
      <c r="A3644">
        <f>HYPERLINK("https://www.youtube.com/watch?v=ngamnNySTmA", "Video")</f>
        <v/>
      </c>
      <c r="B3644" t="inlineStr">
        <is>
          <t>14:54</t>
        </is>
      </c>
      <c r="C3644" t="inlineStr">
        <is>
          <t>undercover if we can get him to drive to</t>
        </is>
      </c>
      <c r="D3644">
        <f>HYPERLINK("https://www.youtube.com/watch?v=ngamnNySTmA&amp;t=894s", "Go to time")</f>
        <v/>
      </c>
    </row>
    <row r="3645">
      <c r="A3645">
        <f>HYPERLINK("https://www.youtube.com/watch?v=9eqze5JWNjY", "Video")</f>
        <v/>
      </c>
      <c r="B3645" t="inlineStr">
        <is>
          <t>0:22</t>
        </is>
      </c>
      <c r="C3645" t="inlineStr">
        <is>
          <t>- You need a license to operate this machine. That means the upstairs office workers can't drive it.</t>
        </is>
      </c>
      <c r="D3645">
        <f>HYPERLINK("https://www.youtube.com/watch?v=9eqze5JWNjY&amp;t=22s", "Go to time")</f>
        <v/>
      </c>
    </row>
    <row r="3646">
      <c r="A3646">
        <f>HYPERLINK("https://www.youtube.com/watch?v=9eqze5JWNjY", "Video")</f>
        <v/>
      </c>
      <c r="B3646" t="inlineStr">
        <is>
          <t>0:29</t>
        </is>
      </c>
      <c r="C3646" t="inlineStr">
        <is>
          <t>- Quiz, Mike. Should you drive the forklift?</t>
        </is>
      </c>
      <c r="D3646">
        <f>HYPERLINK("https://www.youtube.com/watch?v=9eqze5JWNjY&amp;t=29s", "Go to time")</f>
        <v/>
      </c>
    </row>
    <row r="3647">
      <c r="A3647">
        <f>HYPERLINK("https://www.youtube.com/watch?v=9eqze5JWNjY", "Video")</f>
        <v/>
      </c>
      <c r="B3647" t="inlineStr">
        <is>
          <t>0:34</t>
        </is>
      </c>
      <c r="C3647" t="inlineStr">
        <is>
          <t>- I said should you. You should not drive it.</t>
        </is>
      </c>
      <c r="D3647">
        <f>HYPERLINK("https://www.youtube.com/watch?v=9eqze5JWNjY&amp;t=34s", "Go to time")</f>
        <v/>
      </c>
    </row>
    <row r="3648">
      <c r="A3648">
        <f>HYPERLINK("https://www.youtube.com/watch?v=9eqze5JWNjY", "Video")</f>
        <v/>
      </c>
      <c r="B3648" t="inlineStr">
        <is>
          <t>0:37</t>
        </is>
      </c>
      <c r="C3648" t="inlineStr">
        <is>
          <t>- You should not drive the forklift.
- You're not allowed to drive the forklift.</t>
        </is>
      </c>
      <c r="D3648">
        <f>HYPERLINK("https://www.youtube.com/watch?v=9eqze5JWNjY&amp;t=37s", "Go to time")</f>
        <v/>
      </c>
    </row>
    <row r="3649">
      <c r="A3649">
        <f>HYPERLINK("https://www.youtube.com/watch?v=9eqze5JWNjY", "Video")</f>
        <v/>
      </c>
      <c r="B3649" t="inlineStr">
        <is>
          <t>0:42</t>
        </is>
      </c>
      <c r="C3649" t="inlineStr">
        <is>
          <t>- Guys, I'm not the only one who's driven the forklift.</t>
        </is>
      </c>
      <c r="D3649">
        <f>HYPERLINK("https://www.youtube.com/watch?v=9eqze5JWNjY&amp;t=42s", "Go to time")</f>
        <v/>
      </c>
    </row>
    <row r="3650">
      <c r="A3650">
        <f>HYPERLINK("https://www.youtube.com/watch?v=9eqze5JWNjY", "Video")</f>
        <v/>
      </c>
      <c r="B3650" t="inlineStr">
        <is>
          <t>0:44</t>
        </is>
      </c>
      <c r="C3650" t="inlineStr">
        <is>
          <t>- Pudge has driven the forklift.
- Madge.</t>
        </is>
      </c>
      <c r="D3650">
        <f>HYPERLINK("https://www.youtube.com/watch?v=9eqze5JWNjY&amp;t=44s", "Go to time")</f>
        <v/>
      </c>
    </row>
    <row r="3651">
      <c r="A3651">
        <f>HYPERLINK("https://www.youtube.com/watch?v=SKGCvlws2cc", "Video")</f>
        <v/>
      </c>
      <c r="B3651" t="inlineStr">
        <is>
          <t>8:20</t>
        </is>
      </c>
      <c r="C3651" t="inlineStr">
        <is>
          <t>the drive and I ate some of</t>
        </is>
      </c>
      <c r="D3651">
        <f>HYPERLINK("https://www.youtube.com/watch?v=SKGCvlws2cc&amp;t=500s", "Go to time")</f>
        <v/>
      </c>
    </row>
    <row r="3652">
      <c r="A3652">
        <f>HYPERLINK("https://www.youtube.com/watch?v=SKGCvlws2cc", "Video")</f>
        <v/>
      </c>
      <c r="B3652" t="inlineStr">
        <is>
          <t>8:27</t>
        </is>
      </c>
      <c r="C3652" t="inlineStr">
        <is>
          <t>a party for limousine drivers well you</t>
        </is>
      </c>
      <c r="D3652">
        <f>HYPERLINK("https://www.youtube.com/watch?v=SKGCvlws2cc&amp;t=507s", "Go to time")</f>
        <v/>
      </c>
    </row>
    <row r="3653">
      <c r="A3653">
        <f>HYPERLINK("https://www.youtube.com/watch?v=fAymQ5oLhKE", "Video")</f>
        <v/>
      </c>
      <c r="B3653" t="inlineStr">
        <is>
          <t>0:22</t>
        </is>
      </c>
      <c r="C3653" t="inlineStr">
        <is>
          <t>drive not his mom's car yeah cuz his</t>
        </is>
      </c>
      <c r="D3653">
        <f>HYPERLINK("https://www.youtube.com/watch?v=fAymQ5oLhKE&amp;t=22s", "Go to time")</f>
        <v/>
      </c>
    </row>
    <row r="3654">
      <c r="A3654">
        <f>HYPERLINK("https://www.youtube.com/watch?v=dZhR0_JC5Y4", "Video")</f>
        <v/>
      </c>
      <c r="B3654" t="inlineStr">
        <is>
          <t>13:39</t>
        </is>
      </c>
      <c r="C3654" t="inlineStr">
        <is>
          <t>driver lever packs up the pie Wagon at</t>
        </is>
      </c>
      <c r="D3654">
        <f>HYPERLINK("https://www.youtube.com/watch?v=dZhR0_JC5Y4&amp;t=819s", "Go to time")</f>
        <v/>
      </c>
    </row>
    <row r="3655">
      <c r="A3655">
        <f>HYPERLINK("https://www.youtube.com/watch?v=cMd_twXwSdE", "Video")</f>
        <v/>
      </c>
      <c r="B3655" t="inlineStr">
        <is>
          <t>3:31</t>
        </is>
      </c>
      <c r="C3655" t="inlineStr">
        <is>
          <t>spend a ton on tickets though drive safe</t>
        </is>
      </c>
      <c r="D3655">
        <f>HYPERLINK("https://www.youtube.com/watch?v=cMd_twXwSdE&amp;t=211s", "Go to time")</f>
        <v/>
      </c>
    </row>
    <row r="3656">
      <c r="A3656">
        <f>HYPERLINK("https://www.youtube.com/watch?v=oYfGjb2Pqlo", "Video")</f>
        <v/>
      </c>
      <c r="B3656" t="inlineStr">
        <is>
          <t>4:05</t>
        </is>
      </c>
      <c r="C3656" t="inlineStr">
        <is>
          <t>chocolates so how's the drive in h</t>
        </is>
      </c>
      <c r="D3656">
        <f>HYPERLINK("https://www.youtube.com/watch?v=oYfGjb2Pqlo&amp;t=245s", "Go to time")</f>
        <v/>
      </c>
    </row>
    <row r="3657">
      <c r="A3657">
        <f>HYPERLINK("https://www.youtube.com/watch?v=oYfGjb2Pqlo", "Video")</f>
        <v/>
      </c>
      <c r="B3657" t="inlineStr">
        <is>
          <t>4:08</t>
        </is>
      </c>
      <c r="C3657" t="inlineStr">
        <is>
          <t>nobody knows how to drive in the rain</t>
        </is>
      </c>
      <c r="D3657">
        <f>HYPERLINK("https://www.youtube.com/watch?v=oYfGjb2Pqlo&amp;t=248s", "Go to time")</f>
        <v/>
      </c>
    </row>
    <row r="3658">
      <c r="A3658">
        <f>HYPERLINK("https://www.youtube.com/watch?v=oYfGjb2Pqlo", "Video")</f>
        <v/>
      </c>
      <c r="B3658" t="inlineStr">
        <is>
          <t>13:35</t>
        </is>
      </c>
      <c r="C3658" t="inlineStr">
        <is>
          <t>your desk or it's going to drive me</t>
        </is>
      </c>
      <c r="D3658">
        <f>HYPERLINK("https://www.youtube.com/watch?v=oYfGjb2Pqlo&amp;t=815s", "Go to time")</f>
        <v/>
      </c>
    </row>
    <row r="3659">
      <c r="A3659">
        <f>HYPERLINK("https://www.youtube.com/watch?v=JNByBj_AwSs", "Video")</f>
        <v/>
      </c>
      <c r="B3659" t="inlineStr">
        <is>
          <t>0:26</t>
        </is>
      </c>
      <c r="C3659" t="inlineStr">
        <is>
          <t>just like the old days yeah you drive me</t>
        </is>
      </c>
      <c r="D3659">
        <f>HYPERLINK("https://www.youtube.com/watch?v=JNByBj_AwSs&amp;t=26s", "Go to time")</f>
        <v/>
      </c>
    </row>
    <row r="3660">
      <c r="A3660">
        <f>HYPERLINK("https://www.youtube.com/watch?v=JNByBj_AwSs", "Video")</f>
        <v/>
      </c>
      <c r="B3660" t="inlineStr">
        <is>
          <t>0:29</t>
        </is>
      </c>
      <c r="C3660" t="inlineStr">
        <is>
          <t>there I dominate you drive me</t>
        </is>
      </c>
      <c r="D3660">
        <f>HYPERLINK("https://www.youtube.com/watch?v=JNByBj_AwSs&amp;t=29s", "Go to time")</f>
        <v/>
      </c>
    </row>
    <row r="3661">
      <c r="A3661">
        <f>HYPERLINK("https://www.youtube.com/watch?v=JNByBj_AwSs", "Video")</f>
        <v/>
      </c>
      <c r="B3661" t="inlineStr">
        <is>
          <t>0:43</t>
        </is>
      </c>
      <c r="C3661" t="inlineStr">
        <is>
          <t>in the event of a crash driver always</t>
        </is>
      </c>
      <c r="D3661">
        <f>HYPERLINK("https://www.youtube.com/watch?v=JNByBj_AwSs&amp;t=43s", "Go to time")</f>
        <v/>
      </c>
    </row>
    <row r="3662">
      <c r="A3662">
        <f>HYPERLINK("https://www.youtube.com/watch?v=JNByBj_AwSs", "Video")</f>
        <v/>
      </c>
      <c r="B3662" t="inlineStr">
        <is>
          <t>8:40</t>
        </is>
      </c>
      <c r="C3662" t="inlineStr">
        <is>
          <t>car and drive down here you can make it</t>
        </is>
      </c>
      <c r="D3662">
        <f>HYPERLINK("https://www.youtube.com/watch?v=JNByBj_AwSs&amp;t=520s", "Go to time")</f>
        <v/>
      </c>
    </row>
    <row r="3663">
      <c r="A3663">
        <f>HYPERLINK("https://www.youtube.com/watch?v=JNByBj_AwSs", "Video")</f>
        <v/>
      </c>
      <c r="B3663" t="inlineStr">
        <is>
          <t>8:41</t>
        </is>
      </c>
      <c r="C3663" t="inlineStr">
        <is>
          <t>in 30 minutes if you drive 240</t>
        </is>
      </c>
      <c r="D3663">
        <f>HYPERLINK("https://www.youtube.com/watch?v=JNByBj_AwSs&amp;t=521s", "Go to time")</f>
        <v/>
      </c>
    </row>
    <row r="3664">
      <c r="A3664">
        <f>HYPERLINK("https://www.youtube.com/watch?v=wQiSTZbAnZw", "Video")</f>
        <v/>
      </c>
      <c r="B3664" t="inlineStr">
        <is>
          <t>4:44</t>
        </is>
      </c>
      <c r="C3664" t="inlineStr">
        <is>
          <t>their driver's license why don't we just</t>
        </is>
      </c>
      <c r="D3664">
        <f>HYPERLINK("https://www.youtube.com/watch?v=wQiSTZbAnZw&amp;t=284s", "Go to time")</f>
        <v/>
      </c>
    </row>
    <row r="3665">
      <c r="A3665">
        <f>HYPERLINK("https://www.youtube.com/watch?v=wQiSTZbAnZw", "Video")</f>
        <v/>
      </c>
      <c r="B3665" t="inlineStr">
        <is>
          <t>17:17</t>
        </is>
      </c>
      <c r="C3665" t="inlineStr">
        <is>
          <t>chocolates so how's the drive in uh</t>
        </is>
      </c>
      <c r="D3665">
        <f>HYPERLINK("https://www.youtube.com/watch?v=wQiSTZbAnZw&amp;t=1037s", "Go to time")</f>
        <v/>
      </c>
    </row>
    <row r="3666">
      <c r="A3666">
        <f>HYPERLINK("https://www.youtube.com/watch?v=wQiSTZbAnZw", "Video")</f>
        <v/>
      </c>
      <c r="B3666" t="inlineStr">
        <is>
          <t>17:19</t>
        </is>
      </c>
      <c r="C3666" t="inlineStr">
        <is>
          <t>nobody knows how to drive in the rain it</t>
        </is>
      </c>
      <c r="D3666">
        <f>HYPERLINK("https://www.youtube.com/watch?v=wQiSTZbAnZw&amp;t=1039s", "Go to time")</f>
        <v/>
      </c>
    </row>
    <row r="3667">
      <c r="A3667">
        <f>HYPERLINK("https://www.youtube.com/watch?v=wQiSTZbAnZw", "Video")</f>
        <v/>
      </c>
      <c r="B3667" t="inlineStr">
        <is>
          <t>19:51</t>
        </is>
      </c>
      <c r="C3667" t="inlineStr">
        <is>
          <t>chocolates so how's the drive in h</t>
        </is>
      </c>
      <c r="D3667">
        <f>HYPERLINK("https://www.youtube.com/watch?v=wQiSTZbAnZw&amp;t=1191s", "Go to time")</f>
        <v/>
      </c>
    </row>
    <row r="3668">
      <c r="A3668">
        <f>HYPERLINK("https://www.youtube.com/watch?v=wQiSTZbAnZw", "Video")</f>
        <v/>
      </c>
      <c r="B3668" t="inlineStr">
        <is>
          <t>19:53</t>
        </is>
      </c>
      <c r="C3668" t="inlineStr">
        <is>
          <t>nobody knows how to drive in the rain it</t>
        </is>
      </c>
      <c r="D3668">
        <f>HYPERLINK("https://www.youtube.com/watch?v=wQiSTZbAnZw&amp;t=1193s", "Go to time")</f>
        <v/>
      </c>
    </row>
    <row r="3669">
      <c r="A3669">
        <f>HYPERLINK("https://www.youtube.com/watch?v=wQiSTZbAnZw", "Video")</f>
        <v/>
      </c>
      <c r="B3669" t="inlineStr">
        <is>
          <t>28:54</t>
        </is>
      </c>
      <c r="C3669" t="inlineStr">
        <is>
          <t>drive safe everybody knows I go to</t>
        </is>
      </c>
      <c r="D3669">
        <f>HYPERLINK("https://www.youtube.com/watch?v=wQiSTZbAnZw&amp;t=1734s", "Go to time")</f>
        <v/>
      </c>
    </row>
    <row r="3670">
      <c r="A3670">
        <f>HYPERLINK("https://www.youtube.com/watch?v=vcksTKoZMts", "Video")</f>
        <v/>
      </c>
      <c r="B3670" t="inlineStr">
        <is>
          <t>0:29</t>
        </is>
      </c>
      <c r="C3670" t="inlineStr">
        <is>
          <t>along as my assistant and my driver so I</t>
        </is>
      </c>
      <c r="D3670">
        <f>HYPERLINK("https://www.youtube.com/watch?v=vcksTKoZMts&amp;t=29s", "Go to time")</f>
        <v/>
      </c>
    </row>
    <row r="3671">
      <c r="A3671">
        <f>HYPERLINK("https://www.youtube.com/watch?v=PpFmRkLPOXQ", "Video")</f>
        <v/>
      </c>
      <c r="B3671" t="inlineStr">
        <is>
          <t>12:28</t>
        </is>
      </c>
      <c r="C3671" t="inlineStr">
        <is>
          <t>this great weekend and she drives me to</t>
        </is>
      </c>
      <c r="D3671">
        <f>HYPERLINK("https://www.youtube.com/watch?v=PpFmRkLPOXQ&amp;t=748s", "Go to time")</f>
        <v/>
      </c>
    </row>
    <row r="3672">
      <c r="A3672">
        <f>HYPERLINK("https://www.youtube.com/watch?v=xDDxlQ2P7Rc", "Video")</f>
        <v/>
      </c>
      <c r="B3672" t="inlineStr">
        <is>
          <t>3:26</t>
        </is>
      </c>
      <c r="C3672" t="inlineStr">
        <is>
          <t>I had to drive
way longer than you.</t>
        </is>
      </c>
      <c r="D3672">
        <f>HYPERLINK("https://www.youtube.com/watch?v=xDDxlQ2P7Rc&amp;t=206s", "Go to time")</f>
        <v/>
      </c>
    </row>
    <row r="3673">
      <c r="A3673">
        <f>HYPERLINK("https://www.youtube.com/watch?v=xDDxlQ2P7Rc", "Video")</f>
        <v/>
      </c>
      <c r="B3673" t="inlineStr">
        <is>
          <t>4:20</t>
        </is>
      </c>
      <c r="C3673" t="inlineStr">
        <is>
          <t>-Shut up, woman! Listen to me!
-Who drives like that?!</t>
        </is>
      </c>
      <c r="D3673">
        <f>HYPERLINK("https://www.youtube.com/watch?v=xDDxlQ2P7Rc&amp;t=260s", "Go to time")</f>
        <v/>
      </c>
    </row>
    <row r="3674">
      <c r="A3674">
        <f>HYPERLINK("https://www.youtube.com/watch?v=bfhXDO6PG_c", "Video")</f>
        <v/>
      </c>
      <c r="B3674" t="inlineStr">
        <is>
          <t>1:37</t>
        </is>
      </c>
      <c r="C3674" t="inlineStr">
        <is>
          <t>Please drive around.</t>
        </is>
      </c>
      <c r="D3674">
        <f>HYPERLINK("https://www.youtube.com/watch?v=bfhXDO6PG_c&amp;t=97s", "Go to time")</f>
        <v/>
      </c>
    </row>
    <row r="3675">
      <c r="A3675">
        <f>HYPERLINK("https://www.youtube.com/watch?v=ppUahvVBy2A", "Video")</f>
        <v/>
      </c>
      <c r="B3675" t="inlineStr">
        <is>
          <t>8:20</t>
        </is>
      </c>
      <c r="C3675" t="inlineStr">
        <is>
          <t>hot chocolates so how's the drive in uh</t>
        </is>
      </c>
      <c r="D3675">
        <f>HYPERLINK("https://www.youtube.com/watch?v=ppUahvVBy2A&amp;t=500s", "Go to time")</f>
        <v/>
      </c>
    </row>
    <row r="3676">
      <c r="A3676">
        <f>HYPERLINK("https://www.youtube.com/watch?v=ppUahvVBy2A", "Video")</f>
        <v/>
      </c>
      <c r="B3676" t="inlineStr">
        <is>
          <t>8:23</t>
        </is>
      </c>
      <c r="C3676" t="inlineStr">
        <is>
          <t>nobody knows how to drive in the rain</t>
        </is>
      </c>
      <c r="D3676">
        <f>HYPERLINK("https://www.youtube.com/watch?v=ppUahvVBy2A&amp;t=503s", "Go to time")</f>
        <v/>
      </c>
    </row>
    <row r="3677">
      <c r="A3677">
        <f>HYPERLINK("https://www.youtube.com/watch?v=t9vvTqPe-54", "Video")</f>
        <v/>
      </c>
      <c r="B3677" t="inlineStr">
        <is>
          <t>0:43</t>
        </is>
      </c>
      <c r="C3677" t="inlineStr">
        <is>
          <t>doing it you're going to drive me crazy</t>
        </is>
      </c>
      <c r="D3677">
        <f>HYPERLINK("https://www.youtube.com/watch?v=t9vvTqPe-54&amp;t=43s", "Go to time")</f>
        <v/>
      </c>
    </row>
    <row r="3678">
      <c r="A3678">
        <f>HYPERLINK("https://www.youtube.com/watch?v=B72XpA6OeLI", "Video")</f>
        <v/>
      </c>
      <c r="B3678" t="inlineStr">
        <is>
          <t>8:59</t>
        </is>
      </c>
      <c r="C3678" t="inlineStr">
        <is>
          <t>drive them in</t>
        </is>
      </c>
      <c r="D3678">
        <f>HYPERLINK("https://www.youtube.com/watch?v=B72XpA6OeLI&amp;t=539s", "Go to time")</f>
        <v/>
      </c>
    </row>
    <row r="3679">
      <c r="A3679">
        <f>HYPERLINK("https://www.youtube.com/watch?v=B72XpA6OeLI", "Video")</f>
        <v/>
      </c>
      <c r="B3679" t="inlineStr">
        <is>
          <t>9:04</t>
        </is>
      </c>
      <c r="C3679" t="inlineStr">
        <is>
          <t>I I drive a smart car that's not smart</t>
        </is>
      </c>
      <c r="D3679">
        <f>HYPERLINK("https://www.youtube.com/watch?v=B72XpA6OeLI&amp;t=544s", "Go to time")</f>
        <v/>
      </c>
    </row>
    <row r="3680">
      <c r="A3680">
        <f>HYPERLINK("https://www.youtube.com/watch?v=u_Mrk5fCRj4", "Video")</f>
        <v/>
      </c>
      <c r="B3680" t="inlineStr">
        <is>
          <t>1:32</t>
        </is>
      </c>
      <c r="C3680" t="inlineStr">
        <is>
          <t>too small drive my daughter to a school</t>
        </is>
      </c>
      <c r="D3680">
        <f>HYPERLINK("https://www.youtube.com/watch?v=u_Mrk5fCRj4&amp;t=92s", "Go to time")</f>
        <v/>
      </c>
    </row>
    <row r="3681">
      <c r="A3681">
        <f>HYPERLINK("https://www.youtube.com/watch?v=u_Mrk5fCRj4", "Video")</f>
        <v/>
      </c>
      <c r="B3681" t="inlineStr">
        <is>
          <t>9:13</t>
        </is>
      </c>
      <c r="C3681" t="inlineStr">
        <is>
          <t>had to drive to New York to drop off the</t>
        </is>
      </c>
      <c r="D3681">
        <f>HYPERLINK("https://www.youtube.com/watch?v=u_Mrk5fCRj4&amp;t=553s", "Go to time")</f>
        <v/>
      </c>
    </row>
    <row r="3682">
      <c r="A3682">
        <f>HYPERLINK("https://www.youtube.com/watch?v=Sif-rpaxMzA", "Video")</f>
        <v/>
      </c>
      <c r="B3682" t="inlineStr">
        <is>
          <t>2:16</t>
        </is>
      </c>
      <c r="C3682" t="inlineStr">
        <is>
          <t>she drive she drives a green camera and</t>
        </is>
      </c>
      <c r="D3682">
        <f>HYPERLINK("https://www.youtube.com/watch?v=Sif-rpaxMzA&amp;t=136s", "Go to time")</f>
        <v/>
      </c>
    </row>
    <row r="3683">
      <c r="A3683">
        <f>HYPERLINK("https://www.youtube.com/watch?v=Y1tG3dXmxqU", "Video")</f>
        <v/>
      </c>
      <c r="B3683" t="inlineStr">
        <is>
          <t>3:59</t>
        </is>
      </c>
      <c r="C3683" t="inlineStr">
        <is>
          <t>drive it quiz mike</t>
        </is>
      </c>
      <c r="D3683">
        <f>HYPERLINK("https://www.youtube.com/watch?v=Y1tG3dXmxqU&amp;t=239s", "Go to time")</f>
        <v/>
      </c>
    </row>
    <row r="3684">
      <c r="A3684">
        <f>HYPERLINK("https://www.youtube.com/watch?v=Y1tG3dXmxqU", "Video")</f>
        <v/>
      </c>
      <c r="B3684" t="inlineStr">
        <is>
          <t>4:02</t>
        </is>
      </c>
      <c r="C3684" t="inlineStr">
        <is>
          <t>should you drive the forklift i can and</t>
        </is>
      </c>
      <c r="D3684">
        <f>HYPERLINK("https://www.youtube.com/watch?v=Y1tG3dXmxqU&amp;t=242s", "Go to time")</f>
        <v/>
      </c>
    </row>
    <row r="3685">
      <c r="A3685">
        <f>HYPERLINK("https://www.youtube.com/watch?v=Y1tG3dXmxqU", "Video")</f>
        <v/>
      </c>
      <c r="B3685" t="inlineStr">
        <is>
          <t>4:06</t>
        </is>
      </c>
      <c r="C3685" t="inlineStr">
        <is>
          <t>you should not drive it</t>
        </is>
      </c>
      <c r="D3685">
        <f>HYPERLINK("https://www.youtube.com/watch?v=Y1tG3dXmxqU&amp;t=246s", "Go to time")</f>
        <v/>
      </c>
    </row>
    <row r="3686">
      <c r="A3686">
        <f>HYPERLINK("https://www.youtube.com/watch?v=Y1tG3dXmxqU", "Video")</f>
        <v/>
      </c>
      <c r="B3686" t="inlineStr">
        <is>
          <t>4:08</t>
        </is>
      </c>
      <c r="C3686" t="inlineStr">
        <is>
          <t>you should not drive the forklift you're</t>
        </is>
      </c>
      <c r="D3686">
        <f>HYPERLINK("https://www.youtube.com/watch?v=Y1tG3dXmxqU&amp;t=248s", "Go to time")</f>
        <v/>
      </c>
    </row>
    <row r="3687">
      <c r="A3687">
        <f>HYPERLINK("https://www.youtube.com/watch?v=Y1tG3dXmxqU", "Video")</f>
        <v/>
      </c>
      <c r="B3687" t="inlineStr">
        <is>
          <t>4:13</t>
        </is>
      </c>
      <c r="C3687" t="inlineStr">
        <is>
          <t>i'm not the only one who's driven the</t>
        </is>
      </c>
      <c r="D3687">
        <f>HYPERLINK("https://www.youtube.com/watch?v=Y1tG3dXmxqU&amp;t=253s", "Go to time")</f>
        <v/>
      </c>
    </row>
    <row r="3688">
      <c r="A3688">
        <f>HYPERLINK("https://www.youtube.com/watch?v=Y1tG3dXmxqU", "Video")</f>
        <v/>
      </c>
      <c r="B3688" t="inlineStr">
        <is>
          <t>4:16</t>
        </is>
      </c>
      <c r="C3688" t="inlineStr">
        <is>
          <t>pudge has driven the forklift man</t>
        </is>
      </c>
      <c r="D3688">
        <f>HYPERLINK("https://www.youtube.com/watch?v=Y1tG3dXmxqU&amp;t=256s", "Go to time")</f>
        <v/>
      </c>
    </row>
    <row r="3689">
      <c r="A3689">
        <f>HYPERLINK("https://www.youtube.com/watch?v=Y1tG3dXmxqU", "Video")</f>
        <v/>
      </c>
      <c r="B3689" t="inlineStr">
        <is>
          <t>7:00</t>
        </is>
      </c>
      <c r="C3689" t="inlineStr">
        <is>
          <t>shushes me drives me crazy i hate</t>
        </is>
      </c>
      <c r="D3689">
        <f>HYPERLINK("https://www.youtube.com/watch?v=Y1tG3dXmxqU&amp;t=420s", "Go to time")</f>
        <v/>
      </c>
    </row>
    <row r="3690">
      <c r="A3690">
        <f>HYPERLINK("https://www.youtube.com/watch?v=Y1tG3dXmxqU", "Video")</f>
        <v/>
      </c>
      <c r="B3690" t="inlineStr">
        <is>
          <t>8:43</t>
        </is>
      </c>
      <c r="C3690" t="inlineStr">
        <is>
          <t>sucks yeah and then they make you drive</t>
        </is>
      </c>
      <c r="D3690">
        <f>HYPERLINK("https://www.youtube.com/watch?v=Y1tG3dXmxqU&amp;t=523s", "Go to time")</f>
        <v/>
      </c>
    </row>
    <row r="3691">
      <c r="A3691">
        <f>HYPERLINK("https://www.youtube.com/watch?v=IVZUUaF1pQ0", "Video")</f>
        <v/>
      </c>
      <c r="B3691" t="inlineStr">
        <is>
          <t>3:08</t>
        </is>
      </c>
      <c r="C3691" t="inlineStr">
        <is>
          <t>unsafe to talk to a driver okay driver</t>
        </is>
      </c>
      <c r="D3691">
        <f>HYPERLINK("https://www.youtube.com/watch?v=IVZUUaF1pQ0&amp;t=188s", "Go to time")</f>
        <v/>
      </c>
    </row>
    <row r="3692">
      <c r="A3692">
        <f>HYPERLINK("https://www.youtube.com/watch?v=IVZUUaF1pQ0", "Video")</f>
        <v/>
      </c>
      <c r="B3692" t="inlineStr">
        <is>
          <t>3:10</t>
        </is>
      </c>
      <c r="C3692" t="inlineStr">
        <is>
          <t>driver if you're not gonna stop this bus</t>
        </is>
      </c>
      <c r="D3692">
        <f>HYPERLINK("https://www.youtube.com/watch?v=IVZUUaF1pQ0&amp;t=190s", "Go to time")</f>
        <v/>
      </c>
    </row>
    <row r="3693">
      <c r="A3693">
        <f>HYPERLINK("https://www.youtube.com/watch?v=0aKfZIH0pUw", "Video")</f>
        <v/>
      </c>
      <c r="B3693" t="inlineStr">
        <is>
          <t>5:46</t>
        </is>
      </c>
      <c r="C3693" t="inlineStr">
        <is>
          <t>minina how's the drive fantastic Stanley</t>
        </is>
      </c>
      <c r="D3693">
        <f>HYPERLINK("https://www.youtube.com/watch?v=0aKfZIH0pUw&amp;t=346s", "Go to time")</f>
        <v/>
      </c>
    </row>
    <row r="3694">
      <c r="A3694">
        <f>HYPERLINK("https://www.youtube.com/watch?v=0aKfZIH0pUw", "Video")</f>
        <v/>
      </c>
      <c r="B3694" t="inlineStr">
        <is>
          <t>5:49</t>
        </is>
      </c>
      <c r="C3694" t="inlineStr">
        <is>
          <t>Drive so fast life is short drive fast</t>
        </is>
      </c>
      <c r="D3694">
        <f>HYPERLINK("https://www.youtube.com/watch?v=0aKfZIH0pUw&amp;t=349s", "Go to time")</f>
        <v/>
      </c>
    </row>
    <row r="3695">
      <c r="A3695">
        <f>HYPERLINK("https://www.youtube.com/watch?v=IBJJrZ5LAVQ", "Video")</f>
        <v/>
      </c>
      <c r="B3695" t="inlineStr">
        <is>
          <t>7:13</t>
        </is>
      </c>
      <c r="C3695" t="inlineStr">
        <is>
          <t>about Phil he drives a Corvette he is</t>
        </is>
      </c>
      <c r="D3695">
        <f>HYPERLINK("https://www.youtube.com/watch?v=IBJJrZ5LAVQ&amp;t=433s", "Go to time")</f>
        <v/>
      </c>
    </row>
    <row r="3696">
      <c r="A3696">
        <f>HYPERLINK("https://www.youtube.com/watch?v=UmsbTXtfXBg", "Video")</f>
        <v/>
      </c>
      <c r="B3696" t="inlineStr">
        <is>
          <t>3:53</t>
        </is>
      </c>
      <c r="C3696" t="inlineStr">
        <is>
          <t>drives a Corvette he is doing just fine</t>
        </is>
      </c>
      <c r="D3696">
        <f>HYPERLINK("https://www.youtube.com/watch?v=UmsbTXtfXBg&amp;t=233s", "Go to time")</f>
        <v/>
      </c>
    </row>
    <row r="3697">
      <c r="A3697">
        <f>HYPERLINK("https://www.youtube.com/watch?v=UmsbTXtfXBg", "Video")</f>
        <v/>
      </c>
      <c r="B3697" t="inlineStr">
        <is>
          <t>163:51</t>
        </is>
      </c>
      <c r="C3697" t="inlineStr">
        <is>
          <t>was getting their driver's license why</t>
        </is>
      </c>
      <c r="D3697">
        <f>HYPERLINK("https://www.youtube.com/watch?v=UmsbTXtfXBg&amp;t=9831s", "Go to time")</f>
        <v/>
      </c>
    </row>
    <row r="3698">
      <c r="A3698">
        <f>HYPERLINK("https://www.youtube.com/watch?v=UmsbTXtfXBg", "Video")</f>
        <v/>
      </c>
      <c r="B3698" t="inlineStr">
        <is>
          <t>185:39</t>
        </is>
      </c>
      <c r="C3698" t="inlineStr">
        <is>
          <t>good that it's cold it will drive</t>
        </is>
      </c>
      <c r="D3698">
        <f>HYPERLINK("https://www.youtube.com/watch?v=UmsbTXtfXBg&amp;t=11139s", "Go to time")</f>
        <v/>
      </c>
    </row>
    <row r="3699">
      <c r="A3699">
        <f>HYPERLINK("https://www.youtube.com/watch?v=UmsbTXtfXBg", "Video")</f>
        <v/>
      </c>
      <c r="B3699" t="inlineStr">
        <is>
          <t>185:41</t>
        </is>
      </c>
      <c r="C3699" t="inlineStr">
        <is>
          <t>business inside the signs will Drive</t>
        </is>
      </c>
      <c r="D3699">
        <f>HYPERLINK("https://www.youtube.com/watch?v=UmsbTXtfXBg&amp;t=11141s", "Go to time")</f>
        <v/>
      </c>
    </row>
    <row r="3700">
      <c r="A3700">
        <f>HYPERLINK("https://www.youtube.com/watch?v=UmsbTXtfXBg", "Video")</f>
        <v/>
      </c>
      <c r="B3700" t="inlineStr">
        <is>
          <t>193:24</t>
        </is>
      </c>
      <c r="C3700" t="inlineStr">
        <is>
          <t>chocolates so how's the drive in uh</t>
        </is>
      </c>
      <c r="D3700">
        <f>HYPERLINK("https://www.youtube.com/watch?v=UmsbTXtfXBg&amp;t=11604s", "Go to time")</f>
        <v/>
      </c>
    </row>
    <row r="3701">
      <c r="A3701">
        <f>HYPERLINK("https://www.youtube.com/watch?v=UmsbTXtfXBg", "Video")</f>
        <v/>
      </c>
      <c r="B3701" t="inlineStr">
        <is>
          <t>193:27</t>
        </is>
      </c>
      <c r="C3701" t="inlineStr">
        <is>
          <t>nobody knows how to drive in the rain it</t>
        </is>
      </c>
      <c r="D3701">
        <f>HYPERLINK("https://www.youtube.com/watch?v=UmsbTXtfXBg&amp;t=11607s", "Go to time")</f>
        <v/>
      </c>
    </row>
    <row r="3702">
      <c r="A3702">
        <f>HYPERLINK("https://www.youtube.com/watch?v=UmsbTXtfXBg", "Video")</f>
        <v/>
      </c>
      <c r="B3702" t="inlineStr">
        <is>
          <t>197:03</t>
        </is>
      </c>
      <c r="C3702" t="inlineStr">
        <is>
          <t>driver's been gone and it's not in</t>
        </is>
      </c>
      <c r="D3702">
        <f>HYPERLINK("https://www.youtube.com/watch?v=UmsbTXtfXBg&amp;t=11823s", "Go to time")</f>
        <v/>
      </c>
    </row>
    <row r="3703">
      <c r="A3703">
        <f>HYPERLINK("https://www.youtube.com/watch?v=UmsbTXtfXBg", "Video")</f>
        <v/>
      </c>
      <c r="B3703" t="inlineStr">
        <is>
          <t>227:24</t>
        </is>
      </c>
      <c r="C3703" t="inlineStr">
        <is>
          <t>your desk or it's going to drive me</t>
        </is>
      </c>
      <c r="D3703">
        <f>HYPERLINK("https://www.youtube.com/watch?v=UmsbTXtfXBg&amp;t=13644s", "Go to time")</f>
        <v/>
      </c>
    </row>
    <row r="3704">
      <c r="A3704">
        <f>HYPERLINK("https://www.youtube.com/watch?v=UmsbTXtfXBg", "Video")</f>
        <v/>
      </c>
      <c r="B3704" t="inlineStr">
        <is>
          <t>255:41</t>
        </is>
      </c>
      <c r="C3704" t="inlineStr">
        <is>
          <t>car and drive down here you can make it</t>
        </is>
      </c>
      <c r="D3704">
        <f>HYPERLINK("https://www.youtube.com/watch?v=UmsbTXtfXBg&amp;t=15341s", "Go to time")</f>
        <v/>
      </c>
    </row>
    <row r="3705">
      <c r="A3705">
        <f>HYPERLINK("https://www.youtube.com/watch?v=UmsbTXtfXBg", "Video")</f>
        <v/>
      </c>
      <c r="B3705" t="inlineStr">
        <is>
          <t>255:42</t>
        </is>
      </c>
      <c r="C3705" t="inlineStr">
        <is>
          <t>in 30 minutes if you drive 240</t>
        </is>
      </c>
      <c r="D3705">
        <f>HYPERLINK("https://www.youtube.com/watch?v=UmsbTXtfXBg&amp;t=15342s", "Go to time")</f>
        <v/>
      </c>
    </row>
    <row r="3706">
      <c r="A3706">
        <f>HYPERLINK("https://www.youtube.com/watch?v=UmsbTXtfXBg", "Video")</f>
        <v/>
      </c>
      <c r="B3706" t="inlineStr">
        <is>
          <t>258:14</t>
        </is>
      </c>
      <c r="C3706" t="inlineStr">
        <is>
          <t>spend a ton on tickets though drive safe</t>
        </is>
      </c>
      <c r="D3706">
        <f>HYPERLINK("https://www.youtube.com/watch?v=UmsbTXtfXBg&amp;t=15494s", "Go to time")</f>
        <v/>
      </c>
    </row>
    <row r="3707">
      <c r="A3707">
        <f>HYPERLINK("https://www.youtube.com/watch?v=zBZjDqUsrk0", "Video")</f>
        <v/>
      </c>
      <c r="B3707" t="inlineStr">
        <is>
          <t>4:49</t>
        </is>
      </c>
      <c r="C3707" t="inlineStr">
        <is>
          <t>mint I'm looking for the toy drive box</t>
        </is>
      </c>
      <c r="D3707">
        <f>HYPERLINK("https://www.youtube.com/watch?v=zBZjDqUsrk0&amp;t=289s", "Go to time")</f>
        <v/>
      </c>
    </row>
    <row r="3708">
      <c r="A3708">
        <f>HYPERLINK("https://www.youtube.com/watch?v=zBZjDqUsrk0", "Video")</f>
        <v/>
      </c>
      <c r="B3708" t="inlineStr">
        <is>
          <t>5:09</t>
        </is>
      </c>
      <c r="C3708" t="inlineStr">
        <is>
          <t>probably from the test drive but the</t>
        </is>
      </c>
      <c r="D3708">
        <f>HYPERLINK("https://www.youtube.com/watch?v=zBZjDqUsrk0&amp;t=309s", "Go to time")</f>
        <v/>
      </c>
    </row>
    <row r="3709">
      <c r="A3709">
        <f>HYPERLINK("https://www.youtube.com/watch?v=4v1t3BjZgtQ", "Video")</f>
        <v/>
      </c>
      <c r="B3709" t="inlineStr">
        <is>
          <t>9:00</t>
        </is>
      </c>
      <c r="C3709" t="inlineStr">
        <is>
          <t>hey driver why don't you take us to 3030</t>
        </is>
      </c>
      <c r="D3709">
        <f>HYPERLINK("https://www.youtube.com/watch?v=4v1t3BjZgtQ&amp;t=540s", "Go to time")</f>
        <v/>
      </c>
    </row>
    <row r="3710">
      <c r="A3710">
        <f>HYPERLINK("https://www.youtube.com/watch?v=wYIOhQeaDQI", "Video")</f>
        <v/>
      </c>
      <c r="B3710" t="inlineStr">
        <is>
          <t>0:15</t>
        </is>
      </c>
      <c r="C3710" t="inlineStr">
        <is>
          <t>chocolates so how's the drive in h</t>
        </is>
      </c>
      <c r="D3710">
        <f>HYPERLINK("https://www.youtube.com/watch?v=wYIOhQeaDQI&amp;t=15s", "Go to time")</f>
        <v/>
      </c>
    </row>
    <row r="3711">
      <c r="A3711">
        <f>HYPERLINK("https://www.youtube.com/watch?v=wYIOhQeaDQI", "Video")</f>
        <v/>
      </c>
      <c r="B3711" t="inlineStr">
        <is>
          <t>0:17</t>
        </is>
      </c>
      <c r="C3711" t="inlineStr">
        <is>
          <t>nobody knows how to drive in the rain it</t>
        </is>
      </c>
      <c r="D3711">
        <f>HYPERLINK("https://www.youtube.com/watch?v=wYIOhQeaDQI&amp;t=17s", "Go to time")</f>
        <v/>
      </c>
    </row>
    <row r="3712">
      <c r="A3712">
        <f>HYPERLINK("https://www.youtube.com/watch?v=wYIOhQeaDQI", "Video")</f>
        <v/>
      </c>
      <c r="B3712" t="inlineStr">
        <is>
          <t>1:36</t>
        </is>
      </c>
      <c r="C3712" t="inlineStr">
        <is>
          <t>driver's been gone and it's not in</t>
        </is>
      </c>
      <c r="D3712">
        <f>HYPERLINK("https://www.youtube.com/watch?v=wYIOhQeaDQI&amp;t=96s", "Go to time")</f>
        <v/>
      </c>
    </row>
    <row r="3713">
      <c r="A3713">
        <f>HYPERLINK("https://www.youtube.com/watch?v=wYIOhQeaDQI", "Video")</f>
        <v/>
      </c>
      <c r="B3713" t="inlineStr">
        <is>
          <t>6:34</t>
        </is>
      </c>
      <c r="C3713" t="inlineStr">
        <is>
          <t>driver's license why don't we just call</t>
        </is>
      </c>
      <c r="D3713">
        <f>HYPERLINK("https://www.youtube.com/watch?v=wYIOhQeaDQI&amp;t=394s", "Go to time")</f>
        <v/>
      </c>
    </row>
    <row r="3714">
      <c r="A3714">
        <f>HYPERLINK("https://www.youtube.com/watch?v=wYIOhQeaDQI", "Video")</f>
        <v/>
      </c>
      <c r="B3714" t="inlineStr">
        <is>
          <t>18:08</t>
        </is>
      </c>
      <c r="C3714" t="inlineStr">
        <is>
          <t>your desk or it's going to drive me</t>
        </is>
      </c>
      <c r="D3714">
        <f>HYPERLINK("https://www.youtube.com/watch?v=wYIOhQeaDQI&amp;t=1088s", "Go to time")</f>
        <v/>
      </c>
    </row>
    <row r="3715">
      <c r="A3715">
        <f>HYPERLINK("https://www.youtube.com/watch?v=ZPKdJGY0YyE", "Video")</f>
        <v/>
      </c>
      <c r="B3715" t="inlineStr">
        <is>
          <t>7:46</t>
        </is>
      </c>
      <c r="C3715" t="inlineStr">
        <is>
          <t>and we drive off</t>
        </is>
      </c>
      <c r="D3715">
        <f>HYPERLINK("https://www.youtube.com/watch?v=ZPKdJGY0YyE&amp;t=466s", "Go to time")</f>
        <v/>
      </c>
    </row>
    <row r="3716">
      <c r="A3716">
        <f>HYPERLINK("https://www.youtube.com/watch?v=6aL6msCYF5I", "Video")</f>
        <v/>
      </c>
      <c r="B3716" t="inlineStr">
        <is>
          <t>2:32</t>
        </is>
      </c>
      <c r="C3716" t="inlineStr">
        <is>
          <t>i xeroxed her driver's license and she</t>
        </is>
      </c>
      <c r="D3716">
        <f>HYPERLINK("https://www.youtube.com/watch?v=6aL6msCYF5I&amp;t=152s", "Go to time")</f>
        <v/>
      </c>
    </row>
    <row r="3717">
      <c r="A3717">
        <f>HYPERLINK("https://www.youtube.com/watch?v=_o4NFI4DZS8", "Video")</f>
        <v/>
      </c>
      <c r="B3717" t="inlineStr">
        <is>
          <t>5:08</t>
        </is>
      </c>
      <c r="C3717" t="inlineStr">
        <is>
          <t>I drive all the way</t>
        </is>
      </c>
      <c r="D3717">
        <f>HYPERLINK("https://www.youtube.com/watch?v=_o4NFI4DZS8&amp;t=308s", "Go to time")</f>
        <v/>
      </c>
    </row>
    <row r="3718">
      <c r="A3718">
        <f>HYPERLINK("https://www.youtube.com/watch?v=eYdCZSuccTA", "Video")</f>
        <v/>
      </c>
      <c r="B3718" t="inlineStr">
        <is>
          <t>12:45</t>
        </is>
      </c>
      <c r="C3718" t="inlineStr">
        <is>
          <t>and i've never driven my car to the top</t>
        </is>
      </c>
      <c r="D3718">
        <f>HYPERLINK("https://www.youtube.com/watch?v=eYdCZSuccTA&amp;t=765s", "Go to time")</f>
        <v/>
      </c>
    </row>
    <row r="3719">
      <c r="A3719">
        <f>HYPERLINK("https://www.youtube.com/watch?v=eYdCZSuccTA", "Video")</f>
        <v/>
      </c>
      <c r="B3719" t="inlineStr">
        <is>
          <t>12:58</t>
        </is>
      </c>
      <c r="C3719" t="inlineStr">
        <is>
          <t>and drive to new york in order to talk</t>
        </is>
      </c>
      <c r="D3719">
        <f>HYPERLINK("https://www.youtube.com/watch?v=eYdCZSuccTA&amp;t=778s", "Go to time")</f>
        <v/>
      </c>
    </row>
    <row r="3720">
      <c r="A3720">
        <f>HYPERLINK("https://www.youtube.com/watch?v=erITaXtFrjY", "Video")</f>
        <v/>
      </c>
      <c r="B3720" t="inlineStr">
        <is>
          <t>2:35</t>
        </is>
      </c>
      <c r="C3720" t="inlineStr">
        <is>
          <t>pam okay so what we do is we drive all</t>
        </is>
      </c>
      <c r="D3720">
        <f>HYPERLINK("https://www.youtube.com/watch?v=erITaXtFrjY&amp;t=155s", "Go to time")</f>
        <v/>
      </c>
    </row>
    <row r="3721">
      <c r="A3721">
        <f>HYPERLINK("https://www.youtube.com/watch?v=p68xZa30_7Q", "Video")</f>
        <v/>
      </c>
      <c r="B3721" t="inlineStr">
        <is>
          <t>8:34</t>
        </is>
      </c>
      <c r="C3721" t="inlineStr">
        <is>
          <t>that's too small drive my daughter to a</t>
        </is>
      </c>
      <c r="D3721">
        <f>HYPERLINK("https://www.youtube.com/watch?v=p68xZa30_7Q&amp;t=514s", "Go to time")</f>
        <v/>
      </c>
    </row>
    <row r="3722">
      <c r="A3722">
        <f>HYPERLINK("https://www.youtube.com/watch?v=_B8bfWcuxQQ", "Video")</f>
        <v/>
      </c>
      <c r="B3722" t="inlineStr">
        <is>
          <t>2:30</t>
        </is>
      </c>
      <c r="C3722" t="inlineStr">
        <is>
          <t>said warrant he will drive over here and</t>
        </is>
      </c>
      <c r="D3722">
        <f>HYPERLINK("https://www.youtube.com/watch?v=_B8bfWcuxQQ&amp;t=150s", "Go to time")</f>
        <v/>
      </c>
    </row>
    <row r="3723">
      <c r="A3723">
        <f>HYPERLINK("https://www.youtube.com/watch?v=1baVt4UrP3k", "Video")</f>
        <v/>
      </c>
      <c r="B3723" t="inlineStr">
        <is>
          <t>33:31</t>
        </is>
      </c>
      <c r="C3723" t="inlineStr">
        <is>
          <t>good that it's cold it will drive</t>
        </is>
      </c>
      <c r="D3723">
        <f>HYPERLINK("https://www.youtube.com/watch?v=1baVt4UrP3k&amp;t=2011s", "Go to time")</f>
        <v/>
      </c>
    </row>
    <row r="3724">
      <c r="A3724">
        <f>HYPERLINK("https://www.youtube.com/watch?v=1baVt4UrP3k", "Video")</f>
        <v/>
      </c>
      <c r="B3724" t="inlineStr">
        <is>
          <t>33:32</t>
        </is>
      </c>
      <c r="C3724" t="inlineStr">
        <is>
          <t>business inside the signs will drive</t>
        </is>
      </c>
      <c r="D3724">
        <f>HYPERLINK("https://www.youtube.com/watch?v=1baVt4UrP3k&amp;t=2012s", "Go to time")</f>
        <v/>
      </c>
    </row>
    <row r="3725">
      <c r="A3725">
        <f>HYPERLINK("https://www.youtube.com/watch?v=1baVt4UrP3k", "Video")</f>
        <v/>
      </c>
      <c r="B3725" t="inlineStr">
        <is>
          <t>42:52</t>
        </is>
      </c>
      <c r="C3725" t="inlineStr">
        <is>
          <t>drives a Corvette he is doing just fine</t>
        </is>
      </c>
      <c r="D3725">
        <f>HYPERLINK("https://www.youtube.com/watch?v=1baVt4UrP3k&amp;t=2572s", "Go to time")</f>
        <v/>
      </c>
    </row>
    <row r="3726">
      <c r="A3726">
        <f>HYPERLINK("https://www.youtube.com/watch?v=q40eVyuxfW8", "Video")</f>
        <v/>
      </c>
      <c r="B3726" t="inlineStr">
        <is>
          <t>0:51</t>
        </is>
      </c>
      <c r="C3726" t="inlineStr">
        <is>
          <t>-Mm. Everyone was getting
their driver's license.</t>
        </is>
      </c>
      <c r="D3726">
        <f>HYPERLINK("https://www.youtube.com/watch?v=q40eVyuxfW8&amp;t=51s", "Go to time")</f>
        <v/>
      </c>
    </row>
    <row r="3727">
      <c r="A3727">
        <f>HYPERLINK("https://www.youtube.com/watch?v=4ob96nokDEw", "Video")</f>
        <v/>
      </c>
      <c r="B3727" t="inlineStr">
        <is>
          <t>1:11</t>
        </is>
      </c>
      <c r="C3727" t="inlineStr">
        <is>
          <t>astronaut so I drive a Saturn and the</t>
        </is>
      </c>
      <c r="D3727">
        <f>HYPERLINK("https://www.youtube.com/watch?v=4ob96nokDEw&amp;t=71s", "Go to time")</f>
        <v/>
      </c>
    </row>
    <row r="3728">
      <c r="A3728">
        <f>HYPERLINK("https://www.youtube.com/watch?v=4ob96nokDEw", "Video")</f>
        <v/>
      </c>
      <c r="B3728" t="inlineStr">
        <is>
          <t>1:16</t>
        </is>
      </c>
      <c r="C3728" t="inlineStr">
        <is>
          <t>drive a cheap escort and the third guy</t>
        </is>
      </c>
      <c r="D3728">
        <f>HYPERLINK("https://www.youtube.com/watch?v=4ob96nokDEw&amp;t=76s", "Go to time")</f>
        <v/>
      </c>
    </row>
    <row r="3729">
      <c r="A3729">
        <f>HYPERLINK("https://www.youtube.com/watch?v=4ob96nokDEw", "Video")</f>
        <v/>
      </c>
      <c r="B3729" t="inlineStr">
        <is>
          <t>1:21</t>
        </is>
      </c>
      <c r="C3729" t="inlineStr">
        <is>
          <t>proctologist so I drive a brown</t>
        </is>
      </c>
      <c r="D3729">
        <f>HYPERLINK("https://www.youtube.com/watch?v=4ob96nokDEw&amp;t=81s", "Go to time")</f>
        <v/>
      </c>
    </row>
    <row r="3730">
      <c r="A3730">
        <f>HYPERLINK("https://www.youtube.com/watch?v=4ob96nokDEw", "Video")</f>
        <v/>
      </c>
      <c r="B3730" t="inlineStr">
        <is>
          <t>23:26</t>
        </is>
      </c>
      <c r="C3730" t="inlineStr">
        <is>
          <t>tables is roer driver license and she is</t>
        </is>
      </c>
      <c r="D3730">
        <f>HYPERLINK("https://www.youtube.com/watch?v=4ob96nokDEw&amp;t=1406s", "Go to time")</f>
        <v/>
      </c>
    </row>
    <row r="3731">
      <c r="A3731">
        <f>HYPERLINK("https://www.youtube.com/watch?v=qMKjJNZOqKw", "Video")</f>
        <v/>
      </c>
      <c r="B3731" t="inlineStr">
        <is>
          <t>1:33</t>
        </is>
      </c>
      <c r="C3731" t="inlineStr">
        <is>
          <t>so I drive a Saturn and the second guy</t>
        </is>
      </c>
      <c r="D3731">
        <f>HYPERLINK("https://www.youtube.com/watch?v=qMKjJNZOqKw&amp;t=93s", "Go to time")</f>
        <v/>
      </c>
    </row>
    <row r="3732">
      <c r="A3732">
        <f>HYPERLINK("https://www.youtube.com/watch?v=qMKjJNZOqKw", "Video")</f>
        <v/>
      </c>
      <c r="B3732" t="inlineStr">
        <is>
          <t>1:35</t>
        </is>
      </c>
      <c r="C3732" t="inlineStr">
        <is>
          <t>says well I am a pimp so I drive a cheap</t>
        </is>
      </c>
      <c r="D3732">
        <f>HYPERLINK("https://www.youtube.com/watch?v=qMKjJNZOqKw&amp;t=95s", "Go to time")</f>
        <v/>
      </c>
    </row>
    <row r="3733">
      <c r="A3733">
        <f>HYPERLINK("https://www.youtube.com/watch?v=qMKjJNZOqKw", "Video")</f>
        <v/>
      </c>
      <c r="B3733" t="inlineStr">
        <is>
          <t>1:41</t>
        </is>
      </c>
      <c r="C3733" t="inlineStr">
        <is>
          <t>both beat I'm a proctologist so I drive</t>
        </is>
      </c>
      <c r="D3733">
        <f>HYPERLINK("https://www.youtube.com/watch?v=qMKjJNZOqKw&amp;t=101s", "Go to time")</f>
        <v/>
      </c>
    </row>
    <row r="3734">
      <c r="A3734">
        <f>HYPERLINK("https://www.youtube.com/watch?v=5Vj5E9oovZk", "Video")</f>
        <v/>
      </c>
      <c r="B3734" t="inlineStr">
        <is>
          <t>4:20</t>
        </is>
      </c>
      <c r="C3734" t="inlineStr">
        <is>
          <t>okay taxi 5 quiz Mike should you drive</t>
        </is>
      </c>
      <c r="D3734">
        <f>HYPERLINK("https://www.youtube.com/watch?v=5Vj5E9oovZk&amp;t=260s", "Go to time")</f>
        <v/>
      </c>
    </row>
    <row r="3735">
      <c r="A3735">
        <f>HYPERLINK("https://www.youtube.com/watch?v=5Vj5E9oovZk", "Video")</f>
        <v/>
      </c>
      <c r="B3735" t="inlineStr">
        <is>
          <t>4:28</t>
        </is>
      </c>
      <c r="C3735" t="inlineStr">
        <is>
          <t>not drive it</t>
        </is>
      </c>
      <c r="D3735">
        <f>HYPERLINK("https://www.youtube.com/watch?v=5Vj5E9oovZk&amp;t=268s", "Go to time")</f>
        <v/>
      </c>
    </row>
    <row r="3736">
      <c r="A3736">
        <f>HYPERLINK("https://www.youtube.com/watch?v=5Vj5E9oovZk", "Video")</f>
        <v/>
      </c>
      <c r="B3736" t="inlineStr">
        <is>
          <t>4:30</t>
        </is>
      </c>
      <c r="C3736" t="inlineStr">
        <is>
          <t>you should not drive the forklift you</t>
        </is>
      </c>
      <c r="D3736">
        <f>HYPERLINK("https://www.youtube.com/watch?v=5Vj5E9oovZk&amp;t=270s", "Go to time")</f>
        <v/>
      </c>
    </row>
    <row r="3737">
      <c r="A3737">
        <f>HYPERLINK("https://www.youtube.com/watch?v=5Vj5E9oovZk", "Video")</f>
        <v/>
      </c>
      <c r="B3737" t="inlineStr">
        <is>
          <t>4:31</t>
        </is>
      </c>
      <c r="C3737" t="inlineStr">
        <is>
          <t>understand you're not allowed to drive</t>
        </is>
      </c>
      <c r="D3737">
        <f>HYPERLINK("https://www.youtube.com/watch?v=5Vj5E9oovZk&amp;t=271s", "Go to time")</f>
        <v/>
      </c>
    </row>
    <row r="3738">
      <c r="A3738">
        <f>HYPERLINK("https://www.youtube.com/watch?v=5Vj5E9oovZk", "Video")</f>
        <v/>
      </c>
      <c r="B3738" t="inlineStr">
        <is>
          <t>4:36</t>
        </is>
      </c>
      <c r="C3738" t="inlineStr">
        <is>
          <t>who's driven the forklift Pudge has</t>
        </is>
      </c>
      <c r="D3738">
        <f>HYPERLINK("https://www.youtube.com/watch?v=5Vj5E9oovZk&amp;t=276s", "Go to time")</f>
        <v/>
      </c>
    </row>
    <row r="3739">
      <c r="A3739">
        <f>HYPERLINK("https://www.youtube.com/watch?v=5Vj5E9oovZk", "Video")</f>
        <v/>
      </c>
      <c r="B3739" t="inlineStr">
        <is>
          <t>4:38</t>
        </is>
      </c>
      <c r="C3739" t="inlineStr">
        <is>
          <t>driven the forklift</t>
        </is>
      </c>
      <c r="D3739">
        <f>HYPERLINK("https://www.youtube.com/watch?v=5Vj5E9oovZk&amp;t=278s", "Go to time")</f>
        <v/>
      </c>
    </row>
    <row r="3740">
      <c r="A3740">
        <f>HYPERLINK("https://www.youtube.com/watch?v=pgt-qSgera4", "Video")</f>
        <v/>
      </c>
      <c r="B3740" t="inlineStr">
        <is>
          <t>3:20</t>
        </is>
      </c>
      <c r="C3740" t="inlineStr">
        <is>
          <t>i've driven something like 400 miles</t>
        </is>
      </c>
      <c r="D3740">
        <f>HYPERLINK("https://www.youtube.com/watch?v=pgt-qSgera4&amp;t=200s", "Go to time")</f>
        <v/>
      </c>
    </row>
    <row r="3741">
      <c r="A3741">
        <f>HYPERLINK("https://www.youtube.com/watch?v=PeqbzOZhccI", "Video")</f>
        <v/>
      </c>
      <c r="B3741" t="inlineStr">
        <is>
          <t>4:12</t>
        </is>
      </c>
      <c r="C3741" t="inlineStr">
        <is>
          <t>chocolates so how's the drive in uh</t>
        </is>
      </c>
      <c r="D3741">
        <f>HYPERLINK("https://www.youtube.com/watch?v=PeqbzOZhccI&amp;t=252s", "Go to time")</f>
        <v/>
      </c>
    </row>
    <row r="3742">
      <c r="A3742">
        <f>HYPERLINK("https://www.youtube.com/watch?v=PeqbzOZhccI", "Video")</f>
        <v/>
      </c>
      <c r="B3742" t="inlineStr">
        <is>
          <t>4:15</t>
        </is>
      </c>
      <c r="C3742" t="inlineStr">
        <is>
          <t>nobody knows how to drive in the rain</t>
        </is>
      </c>
      <c r="D3742">
        <f>HYPERLINK("https://www.youtube.com/watch?v=PeqbzOZhccI&amp;t=255s", "Go to time")</f>
        <v/>
      </c>
    </row>
    <row r="3743">
      <c r="A3743">
        <f>HYPERLINK("https://www.youtube.com/watch?v=PeqbzOZhccI", "Video")</f>
        <v/>
      </c>
      <c r="B3743" t="inlineStr">
        <is>
          <t>4:52</t>
        </is>
      </c>
      <c r="C3743" t="inlineStr">
        <is>
          <t>these days we could drive out to a field</t>
        </is>
      </c>
      <c r="D3743">
        <f>HYPERLINK("https://www.youtube.com/watch?v=PeqbzOZhccI&amp;t=292s", "Go to time")</f>
        <v/>
      </c>
    </row>
    <row r="3744">
      <c r="A3744">
        <f>HYPERLINK("https://www.youtube.com/watch?v=oWTsz8Yit64", "Video")</f>
        <v/>
      </c>
      <c r="B3744" t="inlineStr">
        <is>
          <t>7:34</t>
        </is>
      </c>
      <c r="C3744" t="inlineStr">
        <is>
          <t>when i drive down this road our</t>
        </is>
      </c>
      <c r="D3744">
        <f>HYPERLINK("https://www.youtube.com/watch?v=oWTsz8Yit64&amp;t=454s", "Go to time")</f>
        <v/>
      </c>
    </row>
    <row r="3745">
      <c r="A3745">
        <f>HYPERLINK("https://www.youtube.com/watch?v=RbOwSnP48s8", "Video")</f>
        <v/>
      </c>
      <c r="B3745" t="inlineStr">
        <is>
          <t>7:31</t>
        </is>
      </c>
      <c r="C3745" t="inlineStr">
        <is>
          <t>things about being in the driver's seat</t>
        </is>
      </c>
      <c r="D3745">
        <f>HYPERLINK("https://www.youtube.com/watch?v=RbOwSnP48s8&amp;t=451s", "Go to time")</f>
        <v/>
      </c>
    </row>
    <row r="3746">
      <c r="A3746">
        <f>HYPERLINK("https://www.youtube.com/watch?v=4mIy3f4ERBk", "Video")</f>
        <v/>
      </c>
      <c r="B3746" t="inlineStr">
        <is>
          <t>4:06</t>
        </is>
      </c>
      <c r="C3746" t="inlineStr">
        <is>
          <t>you headed charity bake Drive liar you</t>
        </is>
      </c>
      <c r="D3746">
        <f>HYPERLINK("https://www.youtube.com/watch?v=4mIy3f4ERBk&amp;t=246s", "Go to time")</f>
        <v/>
      </c>
    </row>
    <row r="3747">
      <c r="A3747">
        <f>HYPERLINK("https://www.youtube.com/watch?v=kEw4XTUWf3w", "Video")</f>
        <v/>
      </c>
      <c r="B3747" t="inlineStr">
        <is>
          <t>1:06</t>
        </is>
      </c>
      <c r="C3747" t="inlineStr">
        <is>
          <t>time what kind of cars to drive she</t>
        </is>
      </c>
      <c r="D3747">
        <f>HYPERLINK("https://www.youtube.com/watch?v=kEw4XTUWf3w&amp;t=66s", "Go to time")</f>
        <v/>
      </c>
    </row>
    <row r="3748">
      <c r="A3748">
        <f>HYPERLINK("https://www.youtube.com/watch?v=kEw4XTUWf3w", "Video")</f>
        <v/>
      </c>
      <c r="B3748" t="inlineStr">
        <is>
          <t>1:08</t>
        </is>
      </c>
      <c r="C3748" t="inlineStr">
        <is>
          <t>drives a green camera and the seats go</t>
        </is>
      </c>
      <c r="D3748">
        <f>HYPERLINK("https://www.youtube.com/watch?v=kEw4XTUWf3w&amp;t=68s", "Go to time")</f>
        <v/>
      </c>
    </row>
    <row r="3749">
      <c r="A3749">
        <f>HYPERLINK("https://www.youtube.com/watch?v=q7QK4c7w8b8", "Video")</f>
        <v/>
      </c>
      <c r="B3749" t="inlineStr">
        <is>
          <t>5:10</t>
        </is>
      </c>
      <c r="C3749" t="inlineStr">
        <is>
          <t>-If we can get him
to drive to Connecticut,</t>
        </is>
      </c>
      <c r="D3749">
        <f>HYPERLINK("https://www.youtube.com/watch?v=q7QK4c7w8b8&amp;t=310s", "Go to time")</f>
        <v/>
      </c>
    </row>
    <row r="3750">
      <c r="A3750">
        <f>HYPERLINK("https://www.youtube.com/watch?v=lwe0Wx-6T2E", "Video")</f>
        <v/>
      </c>
      <c r="B3750" t="inlineStr">
        <is>
          <t>8:45</t>
        </is>
      </c>
      <c r="C3750" t="inlineStr">
        <is>
          <t>quiz mic should you drive the forklift I</t>
        </is>
      </c>
      <c r="D3750">
        <f>HYPERLINK("https://www.youtube.com/watch?v=lwe0Wx-6T2E&amp;t=525s", "Go to time")</f>
        <v/>
      </c>
    </row>
    <row r="3751">
      <c r="A3751">
        <f>HYPERLINK("https://www.youtube.com/watch?v=lwe0Wx-6T2E", "Video")</f>
        <v/>
      </c>
      <c r="B3751" t="inlineStr">
        <is>
          <t>8:52</t>
        </is>
      </c>
      <c r="C3751" t="inlineStr">
        <is>
          <t>should you you should not drive it you</t>
        </is>
      </c>
      <c r="D3751">
        <f>HYPERLINK("https://www.youtube.com/watch?v=lwe0Wx-6T2E&amp;t=532s", "Go to time")</f>
        <v/>
      </c>
    </row>
    <row r="3752">
      <c r="A3752">
        <f>HYPERLINK("https://www.youtube.com/watch?v=lwe0Wx-6T2E", "Video")</f>
        <v/>
      </c>
      <c r="B3752" t="inlineStr">
        <is>
          <t>8:54</t>
        </is>
      </c>
      <c r="C3752" t="inlineStr">
        <is>
          <t>should not drive the forklift driver for</t>
        </is>
      </c>
      <c r="D3752">
        <f>HYPERLINK("https://www.youtube.com/watch?v=lwe0Wx-6T2E&amp;t=534s", "Go to time")</f>
        <v/>
      </c>
    </row>
    <row r="3753">
      <c r="A3753">
        <f>HYPERLINK("https://www.youtube.com/watch?v=lwe0Wx-6T2E", "Video")</f>
        <v/>
      </c>
      <c r="B3753" t="inlineStr">
        <is>
          <t>8:59</t>
        </is>
      </c>
      <c r="C3753" t="inlineStr">
        <is>
          <t>guys I'm not the only one who's driven</t>
        </is>
      </c>
      <c r="D3753">
        <f>HYPERLINK("https://www.youtube.com/watch?v=lwe0Wx-6T2E&amp;t=539s", "Go to time")</f>
        <v/>
      </c>
    </row>
    <row r="3754">
      <c r="A3754">
        <f>HYPERLINK("https://www.youtube.com/watch?v=lwe0Wx-6T2E", "Video")</f>
        <v/>
      </c>
      <c r="B3754" t="inlineStr">
        <is>
          <t>9:01</t>
        </is>
      </c>
      <c r="C3754" t="inlineStr">
        <is>
          <t>the forklift Pudge is driven the</t>
        </is>
      </c>
      <c r="D3754">
        <f>HYPERLINK("https://www.youtube.com/watch?v=lwe0Wx-6T2E&amp;t=541s", "Go to time")</f>
        <v/>
      </c>
    </row>
    <row r="3755">
      <c r="A3755">
        <f>HYPERLINK("https://www.youtube.com/watch?v=32zzZE658ec", "Video")</f>
        <v/>
      </c>
      <c r="B3755" t="inlineStr">
        <is>
          <t>2:46</t>
        </is>
      </c>
      <c r="C3755" t="inlineStr">
        <is>
          <t>driver always protects his side</t>
        </is>
      </c>
      <c r="D3755">
        <f>HYPERLINK("https://www.youtube.com/watch?v=32zzZE658ec&amp;t=166s", "Go to time")</f>
        <v/>
      </c>
    </row>
    <row r="3756">
      <c r="A3756">
        <f>HYPERLINK("https://www.youtube.com/watch?v=whxUtsk9bYE", "Video")</f>
        <v/>
      </c>
      <c r="B3756" t="inlineStr">
        <is>
          <t>1:44</t>
        </is>
      </c>
      <c r="C3756" t="inlineStr">
        <is>
          <t>or it's gonna drive me insane.
-Okay, got it.</t>
        </is>
      </c>
      <c r="D3756">
        <f>HYPERLINK("https://www.youtube.com/watch?v=whxUtsk9bYE&amp;t=104s", "Go to time")</f>
        <v/>
      </c>
    </row>
    <row r="3757">
      <c r="A3757">
        <f>HYPERLINK("https://www.youtube.com/watch?v=B9MNITrHu9E", "Video")</f>
        <v/>
      </c>
      <c r="B3757" t="inlineStr">
        <is>
          <t>3:18</t>
        </is>
      </c>
      <c r="C3757" t="inlineStr">
        <is>
          <t>about being in the driver's seat</t>
        </is>
      </c>
      <c r="D3757">
        <f>HYPERLINK("https://www.youtube.com/watch?v=B9MNITrHu9E&amp;t=198s", "Go to time")</f>
        <v/>
      </c>
    </row>
    <row r="3758">
      <c r="A3758">
        <f>HYPERLINK("https://www.youtube.com/watch?v=4TMi9EMRyQc", "Video")</f>
        <v/>
      </c>
      <c r="B3758" t="inlineStr">
        <is>
          <t>0:28</t>
        </is>
      </c>
      <c r="C3758" t="inlineStr">
        <is>
          <t>drive Jim why don't you drive we'll go</t>
        </is>
      </c>
      <c r="D3758">
        <f>HYPERLINK("https://www.youtube.com/watch?v=4TMi9EMRyQc&amp;t=28s", "Go to time")</f>
        <v/>
      </c>
    </row>
    <row r="3759">
      <c r="A3759">
        <f>HYPERLINK("https://www.youtube.com/watch?v=IzE98BkAO8o", "Video")</f>
        <v/>
      </c>
      <c r="B3759" t="inlineStr">
        <is>
          <t>1:57</t>
        </is>
      </c>
      <c r="C3759" t="inlineStr">
        <is>
          <t>driver's been gone and it's not indirect</t>
        </is>
      </c>
      <c r="D3759">
        <f>HYPERLINK("https://www.youtube.com/watch?v=IzE98BkAO8o&amp;t=117s", "Go to time")</f>
        <v/>
      </c>
    </row>
    <row r="3760">
      <c r="A3760">
        <f>HYPERLINK("https://www.youtube.com/watch?v=dx3oxe637K8", "Video")</f>
        <v/>
      </c>
      <c r="B3760" t="inlineStr">
        <is>
          <t>9:52</t>
        </is>
      </c>
      <c r="C3760" t="inlineStr">
        <is>
          <t>doughnuts and we drive off</t>
        </is>
      </c>
      <c r="D3760">
        <f>HYPERLINK("https://www.youtube.com/watch?v=dx3oxe637K8&amp;t=592s", "Go to time")</f>
        <v/>
      </c>
    </row>
    <row r="3761">
      <c r="A3761">
        <f>HYPERLINK("https://www.youtube.com/watch?v=TeAdbST1gQ0", "Video")</f>
        <v/>
      </c>
      <c r="B3761" t="inlineStr">
        <is>
          <t>3:30</t>
        </is>
      </c>
      <c r="C3761" t="inlineStr">
        <is>
          <t>Messina how's the drive fantastic</t>
        </is>
      </c>
      <c r="D3761">
        <f>HYPERLINK("https://www.youtube.com/watch?v=TeAdbST1gQ0&amp;t=210s", "Go to time")</f>
        <v/>
      </c>
    </row>
    <row r="3762">
      <c r="A3762">
        <f>HYPERLINK("https://www.youtube.com/watch?v=TeAdbST1gQ0", "Video")</f>
        <v/>
      </c>
      <c r="B3762" t="inlineStr">
        <is>
          <t>3:33</t>
        </is>
      </c>
      <c r="C3762" t="inlineStr">
        <is>
          <t>Stanley Drive so fast life is short</t>
        </is>
      </c>
      <c r="D3762">
        <f>HYPERLINK("https://www.youtube.com/watch?v=TeAdbST1gQ0&amp;t=213s", "Go to time")</f>
        <v/>
      </c>
    </row>
    <row r="3763">
      <c r="A3763">
        <f>HYPERLINK("https://www.youtube.com/watch?v=TeAdbST1gQ0", "Video")</f>
        <v/>
      </c>
      <c r="B3763" t="inlineStr">
        <is>
          <t>3:35</t>
        </is>
      </c>
      <c r="C3763" t="inlineStr">
        <is>
          <t>drive fast leave a sexy corpse that's</t>
        </is>
      </c>
      <c r="D3763">
        <f>HYPERLINK("https://www.youtube.com/watch?v=TeAdbST1gQ0&amp;t=215s", "Go to time")</f>
        <v/>
      </c>
    </row>
    <row r="3764">
      <c r="A3764">
        <f>HYPERLINK("https://www.youtube.com/watch?v=dGvw-E4OtOA", "Video")</f>
        <v/>
      </c>
      <c r="B3764" t="inlineStr">
        <is>
          <t>6:14</t>
        </is>
      </c>
      <c r="C3764" t="inlineStr">
        <is>
          <t>2 and 1/2 hour drive when I experienced</t>
        </is>
      </c>
      <c r="D3764">
        <f>HYPERLINK("https://www.youtube.com/watch?v=dGvw-E4OtOA&amp;t=374s", "Go to time")</f>
        <v/>
      </c>
    </row>
    <row r="3765">
      <c r="A3765">
        <f>HYPERLINK("https://www.youtube.com/watch?v=dGvw-E4OtOA", "Video")</f>
        <v/>
      </c>
      <c r="B3765" t="inlineStr">
        <is>
          <t>6:16</t>
        </is>
      </c>
      <c r="C3765" t="inlineStr">
        <is>
          <t>doubt that's the thing about long drives</t>
        </is>
      </c>
      <c r="D3765">
        <f>HYPERLINK("https://www.youtube.com/watch?v=dGvw-E4OtOA&amp;t=376s", "Go to time")</f>
        <v/>
      </c>
    </row>
    <row r="3766">
      <c r="A3766">
        <f>HYPERLINK("https://www.youtube.com/watch?v=Iyvvear4Kxo", "Video")</f>
        <v/>
      </c>
      <c r="B3766" t="inlineStr">
        <is>
          <t>8:20</t>
        </is>
      </c>
      <c r="C3766" t="inlineStr">
        <is>
          <t>hot chocolates so how's the drive in uh</t>
        </is>
      </c>
      <c r="D3766">
        <f>HYPERLINK("https://www.youtube.com/watch?v=Iyvvear4Kxo&amp;t=500s", "Go to time")</f>
        <v/>
      </c>
    </row>
    <row r="3767">
      <c r="A3767">
        <f>HYPERLINK("https://www.youtube.com/watch?v=Iyvvear4Kxo", "Video")</f>
        <v/>
      </c>
      <c r="B3767" t="inlineStr">
        <is>
          <t>8:23</t>
        </is>
      </c>
      <c r="C3767" t="inlineStr">
        <is>
          <t>nobody knows how to drive in the rain</t>
        </is>
      </c>
      <c r="D3767">
        <f>HYPERLINK("https://www.youtube.com/watch?v=Iyvvear4Kxo&amp;t=503s", "Go to time")</f>
        <v/>
      </c>
    </row>
    <row r="3768">
      <c r="A3768">
        <f>HYPERLINK("https://www.youtube.com/watch?v=bqgVB6Vl-lI", "Video")</f>
        <v/>
      </c>
      <c r="B3768" t="inlineStr">
        <is>
          <t>1:57</t>
        </is>
      </c>
      <c r="C3768" t="inlineStr">
        <is>
          <t>of a car in the event of a crash driver</t>
        </is>
      </c>
      <c r="D3768">
        <f>HYPERLINK("https://www.youtube.com/watch?v=bqgVB6Vl-lI&amp;t=117s", "Go to time")</f>
        <v/>
      </c>
    </row>
    <row r="3769">
      <c r="A3769">
        <f>HYPERLINK("https://www.youtube.com/watch?v=D-9E-5Zm6-0", "Video")</f>
        <v/>
      </c>
      <c r="B3769" t="inlineStr">
        <is>
          <t>0:05</t>
        </is>
      </c>
      <c r="C3769" t="inlineStr">
        <is>
          <t>yeah i'll just i'll drive myself home</t>
        </is>
      </c>
      <c r="D3769">
        <f>HYPERLINK("https://www.youtube.com/watch?v=D-9E-5Zm6-0&amp;t=5s", "Go to time")</f>
        <v/>
      </c>
    </row>
    <row r="3770">
      <c r="A3770">
        <f>HYPERLINK("https://www.youtube.com/watch?v=CTBJXCJxg30", "Video")</f>
        <v/>
      </c>
      <c r="B3770" t="inlineStr">
        <is>
          <t>2:06</t>
        </is>
      </c>
      <c r="C3770" t="inlineStr">
        <is>
          <t>undercover if we can get him to drive no</t>
        </is>
      </c>
      <c r="D3770">
        <f>HYPERLINK("https://www.youtube.com/watch?v=CTBJXCJxg30&amp;t=126s", "Go to time")</f>
        <v/>
      </c>
    </row>
    <row r="3771">
      <c r="A3771">
        <f>HYPERLINK("https://www.youtube.com/watch?v=JGyzI66Z9rs", "Video")</f>
        <v/>
      </c>
      <c r="B3771" t="inlineStr">
        <is>
          <t>10:10</t>
        </is>
      </c>
      <c r="C3771" t="inlineStr">
        <is>
          <t>doing it you're going to drive me</t>
        </is>
      </c>
      <c r="D3771">
        <f>HYPERLINK("https://www.youtube.com/watch?v=JGyzI66Z9rs&amp;t=610s", "Go to time")</f>
        <v/>
      </c>
    </row>
    <row r="3772">
      <c r="A3772">
        <f>HYPERLINK("https://www.youtube.com/watch?v=YvTwli1QdiY", "Video")</f>
        <v/>
      </c>
      <c r="B3772" t="inlineStr">
        <is>
          <t>4:42</t>
        </is>
      </c>
      <c r="C3772" t="inlineStr">
        <is>
          <t>on tickets though drive safe everybody</t>
        </is>
      </c>
      <c r="D3772">
        <f>HYPERLINK("https://www.youtube.com/watch?v=YvTwli1QdiY&amp;t=282s", "Go to time")</f>
        <v/>
      </c>
    </row>
    <row r="3773">
      <c r="A3773">
        <f>HYPERLINK("https://www.youtube.com/watch?v=_ILunvlm1YU", "Video")</f>
        <v/>
      </c>
      <c r="B3773" t="inlineStr">
        <is>
          <t>0:18</t>
        </is>
      </c>
      <c r="C3773" t="inlineStr">
        <is>
          <t>chocolates so how's the drive in h</t>
        </is>
      </c>
      <c r="D3773">
        <f>HYPERLINK("https://www.youtube.com/watch?v=_ILunvlm1YU&amp;t=18s", "Go to time")</f>
        <v/>
      </c>
    </row>
    <row r="3774">
      <c r="A3774">
        <f>HYPERLINK("https://www.youtube.com/watch?v=_ILunvlm1YU", "Video")</f>
        <v/>
      </c>
      <c r="B3774" t="inlineStr">
        <is>
          <t>0:21</t>
        </is>
      </c>
      <c r="C3774" t="inlineStr">
        <is>
          <t>nobody knows how to drive in the rain it</t>
        </is>
      </c>
      <c r="D3774">
        <f>HYPERLINK("https://www.youtube.com/watch?v=_ILunvlm1YU&amp;t=21s", "Go to time")</f>
        <v/>
      </c>
    </row>
    <row r="3775">
      <c r="A3775">
        <f>HYPERLINK("https://www.youtube.com/watch?v=JawiagaBuzw", "Video")</f>
        <v/>
      </c>
      <c r="B3775" t="inlineStr">
        <is>
          <t>2:56</t>
        </is>
      </c>
      <c r="C3775" t="inlineStr">
        <is>
          <t>positive Mo if being your motor Drive is</t>
        </is>
      </c>
      <c r="D3775">
        <f>HYPERLINK("https://www.youtube.com/watch?v=JawiagaBuzw&amp;t=176s", "Go to time")</f>
        <v/>
      </c>
    </row>
    <row r="3776">
      <c r="A3776">
        <f>HYPERLINK("https://www.youtube.com/watch?v=6ILnFPZtOKY", "Video")</f>
        <v/>
      </c>
      <c r="B3776" t="inlineStr">
        <is>
          <t>2:54</t>
        </is>
      </c>
      <c r="C3776" t="inlineStr">
        <is>
          <t>you are in no condition to drive I will</t>
        </is>
      </c>
      <c r="D3776">
        <f>HYPERLINK("https://www.youtube.com/watch?v=6ILnFPZtOKY&amp;t=174s", "Go to time")</f>
        <v/>
      </c>
    </row>
    <row r="3777">
      <c r="A3777">
        <f>HYPERLINK("https://www.youtube.com/watch?v=6ILnFPZtOKY", "Video")</f>
        <v/>
      </c>
      <c r="B3777" t="inlineStr">
        <is>
          <t>2:56</t>
        </is>
      </c>
      <c r="C3777" t="inlineStr">
        <is>
          <t>drive you Chuck panics all right I have</t>
        </is>
      </c>
      <c r="D3777">
        <f>HYPERLINK("https://www.youtube.com/watch?v=6ILnFPZtOKY&amp;t=176s", "Go to time")</f>
        <v/>
      </c>
    </row>
    <row r="3778">
      <c r="A3778">
        <f>HYPERLINK("https://www.youtube.com/watch?v=mVxVppPjV0w", "Video")</f>
        <v/>
      </c>
      <c r="B3778" t="inlineStr">
        <is>
          <t>3:13</t>
        </is>
      </c>
      <c r="C3778" t="inlineStr">
        <is>
          <t>things about being in the driver's</t>
        </is>
      </c>
      <c r="D3778">
        <f>HYPERLINK("https://www.youtube.com/watch?v=mVxVppPjV0w&amp;t=193s", "Go to time")</f>
        <v/>
      </c>
    </row>
    <row r="3779">
      <c r="A3779">
        <f>HYPERLINK("https://www.youtube.com/watch?v=vYWwfdb2A88", "Video")</f>
        <v/>
      </c>
      <c r="B3779" t="inlineStr">
        <is>
          <t>2:03</t>
        </is>
      </c>
      <c r="C3779" t="inlineStr">
        <is>
          <t>well I'm an astronaut so I Drive a</t>
        </is>
      </c>
      <c r="D3779">
        <f>HYPERLINK("https://www.youtube.com/watch?v=vYWwfdb2A88&amp;t=123s", "Go to time")</f>
        <v/>
      </c>
    </row>
    <row r="3780">
      <c r="A3780">
        <f>HYPERLINK("https://www.youtube.com/watch?v=vYWwfdb2A88", "Video")</f>
        <v/>
      </c>
      <c r="B3780" t="inlineStr">
        <is>
          <t>2:08</t>
        </is>
      </c>
      <c r="C3780" t="inlineStr">
        <is>
          <t>a pimp so I Drive a cheap escort and the</t>
        </is>
      </c>
      <c r="D3780">
        <f>HYPERLINK("https://www.youtube.com/watch?v=vYWwfdb2A88&amp;t=128s", "Go to time")</f>
        <v/>
      </c>
    </row>
    <row r="3781">
      <c r="A3781">
        <f>HYPERLINK("https://www.youtube.com/watch?v=vYWwfdb2A88", "Video")</f>
        <v/>
      </c>
      <c r="B3781" t="inlineStr">
        <is>
          <t>2:13</t>
        </is>
      </c>
      <c r="C3781" t="inlineStr">
        <is>
          <t>proctologist so I Drive a brown probe my</t>
        </is>
      </c>
      <c r="D3781">
        <f>HYPERLINK("https://www.youtube.com/watch?v=vYWwfdb2A88&amp;t=133s", "Go to time")</f>
        <v/>
      </c>
    </row>
    <row r="3782">
      <c r="A3782">
        <f>HYPERLINK("https://www.youtube.com/watch?v=0DddmXPIdpI", "Video")</f>
        <v/>
      </c>
      <c r="B3782" t="inlineStr">
        <is>
          <t>2:49</t>
        </is>
      </c>
      <c r="C3782" t="inlineStr">
        <is>
          <t>with these experiences will drive more</t>
        </is>
      </c>
      <c r="D3782">
        <f>HYPERLINK("https://www.youtube.com/watch?v=0DddmXPIdpI&amp;t=169s", "Go to time")</f>
        <v/>
      </c>
    </row>
    <row r="3783">
      <c r="A3783">
        <f>HYPERLINK("https://www.youtube.com/watch?v=0DddmXPIdpI", "Video")</f>
        <v/>
      </c>
      <c r="B3783" t="inlineStr">
        <is>
          <t>2:53</t>
        </is>
      </c>
      <c r="C3783" t="inlineStr">
        <is>
          <t>foot traffic will drive more people to</t>
        </is>
      </c>
      <c r="D3783">
        <f>HYPERLINK("https://www.youtube.com/watch?v=0DddmXPIdpI&amp;t=173s", "Go to time")</f>
        <v/>
      </c>
    </row>
    <row r="3784">
      <c r="A3784">
        <f>HYPERLINK("https://www.youtube.com/watch?v=y0ARfvsNfBs", "Video")</f>
        <v/>
      </c>
      <c r="B3784" t="inlineStr">
        <is>
          <t>2:41</t>
        </is>
      </c>
      <c r="C3784" t="inlineStr">
        <is>
          <t>increases as a driver in its business</t>
        </is>
      </c>
      <c r="D3784">
        <f>HYPERLINK("https://www.youtube.com/watch?v=y0ARfvsNfBs&amp;t=161s", "Go to time")</f>
        <v/>
      </c>
    </row>
    <row r="3785">
      <c r="A3785">
        <f>HYPERLINK("https://www.youtube.com/watch?v=WC5fD_B-o80", "Video")</f>
        <v/>
      </c>
      <c r="B3785" t="inlineStr">
        <is>
          <t>1:16</t>
        </is>
      </c>
      <c r="C3785" t="inlineStr">
        <is>
          <t>The team usually includes a driver</t>
        </is>
      </c>
      <c r="D3785">
        <f>HYPERLINK("https://www.youtube.com/watch?v=WC5fD_B-o80&amp;t=76s", "Go to time")</f>
        <v/>
      </c>
    </row>
    <row r="3786">
      <c r="A3786">
        <f>HYPERLINK("https://www.youtube.com/watch?v=WC5fD_B-o80", "Video")</f>
        <v/>
      </c>
      <c r="B3786" t="inlineStr">
        <is>
          <t>2:29</t>
        </is>
      </c>
      <c r="C3786" t="inlineStr">
        <is>
          <t>a drone pilot will aim for the
cabin to take out the driver.</t>
        </is>
      </c>
      <c r="D3786">
        <f>HYPERLINK("https://www.youtube.com/watch?v=WC5fD_B-o80&amp;t=149s", "Go to time")</f>
        <v/>
      </c>
    </row>
    <row r="3787">
      <c r="A3787">
        <f>HYPERLINK("https://www.youtube.com/watch?v=YoYsBNrBpvA", "Video")</f>
        <v/>
      </c>
      <c r="B3787" t="inlineStr">
        <is>
          <t>7:23</t>
        </is>
      </c>
      <c r="C3787" t="inlineStr">
        <is>
          <t>was this much more consumer-driven</t>
        </is>
      </c>
      <c r="D3787">
        <f>HYPERLINK("https://www.youtube.com/watch?v=YoYsBNrBpvA&amp;t=443s", "Go to time")</f>
        <v/>
      </c>
    </row>
    <row r="3788">
      <c r="A3788">
        <f>HYPERLINK("https://www.youtube.com/watch?v=tUyKTugiJKQ", "Video")</f>
        <v/>
      </c>
      <c r="B3788" t="inlineStr">
        <is>
          <t>2:33</t>
        </is>
      </c>
      <c r="C3788" t="inlineStr">
        <is>
          <t>specific routes the cards drive the</t>
        </is>
      </c>
      <c r="D3788">
        <f>HYPERLINK("https://www.youtube.com/watch?v=tUyKTugiJKQ&amp;t=153s", "Go to time")</f>
        <v/>
      </c>
    </row>
    <row r="3789">
      <c r="A3789">
        <f>HYPERLINK("https://www.youtube.com/watch?v=c5QkTOvFCF0", "Video")</f>
        <v/>
      </c>
      <c r="B3789" t="inlineStr">
        <is>
          <t>0:50</t>
        </is>
      </c>
      <c r="C3789" t="inlineStr">
        <is>
          <t>just a three-hour drive away palir is</t>
        </is>
      </c>
      <c r="D3789">
        <f>HYPERLINK("https://www.youtube.com/watch?v=c5QkTOvFCF0&amp;t=50s", "Go to time")</f>
        <v/>
      </c>
    </row>
    <row r="3790">
      <c r="A3790">
        <f>HYPERLINK("https://www.youtube.com/watch?v=GkoOW0izvb8", "Video")</f>
        <v/>
      </c>
      <c r="B3790" t="inlineStr">
        <is>
          <t>0:21</t>
        </is>
      </c>
      <c r="C3790" t="inlineStr">
        <is>
          <t>Brussels the driver a man who was hurt</t>
        </is>
      </c>
      <c r="D3790">
        <f>HYPERLINK("https://www.youtube.com/watch?v=GkoOW0izvb8&amp;t=21s", "Go to time")</f>
        <v/>
      </c>
    </row>
    <row r="3791">
      <c r="A3791">
        <f>HYPERLINK("https://www.youtube.com/watch?v=VKExh5Nh1u0", "Video")</f>
        <v/>
      </c>
      <c r="B3791" t="inlineStr">
        <is>
          <t>1:32</t>
        </is>
      </c>
      <c r="C3791" t="inlineStr">
        <is>
          <t>goes on that drives real-time betting as</t>
        </is>
      </c>
      <c r="D3791">
        <f>HYPERLINK("https://www.youtube.com/watch?v=VKExh5Nh1u0&amp;t=92s", "Go to time")</f>
        <v/>
      </c>
    </row>
    <row r="3792">
      <c r="A3792">
        <f>HYPERLINK("https://www.youtube.com/watch?v=xJD08LRGxxc", "Video")</f>
        <v/>
      </c>
      <c r="B3792" t="inlineStr">
        <is>
          <t>1:47</t>
        </is>
      </c>
      <c r="C3792" t="inlineStr">
        <is>
          <t>city Square they've since been driven</t>
        </is>
      </c>
      <c r="D3792">
        <f>HYPERLINK("https://www.youtube.com/watch?v=xJD08LRGxxc&amp;t=107s", "Go to time")</f>
        <v/>
      </c>
    </row>
    <row r="3793">
      <c r="A3793">
        <f>HYPERLINK("https://www.youtube.com/watch?v=jP_t1lo0ZgA", "Video")</f>
        <v/>
      </c>
      <c r="B3793" t="inlineStr">
        <is>
          <t>2:20</t>
        </is>
      </c>
      <c r="C3793" t="inlineStr">
        <is>
          <t>drives 7% of global consumption today,</t>
        </is>
      </c>
      <c r="D3793">
        <f>HYPERLINK("https://www.youtube.com/watch?v=jP_t1lo0ZgA&amp;t=140s", "Go to time")</f>
        <v/>
      </c>
    </row>
    <row r="3794">
      <c r="A3794">
        <f>HYPERLINK("https://www.youtube.com/watch?v=Fx0QRcT0zMk", "Video")</f>
        <v/>
      </c>
      <c r="B3794" t="inlineStr">
        <is>
          <t>0:48</t>
        </is>
      </c>
      <c r="C3794" t="inlineStr">
        <is>
          <t>- I'm curious to know what drives people</t>
        </is>
      </c>
      <c r="D3794">
        <f>HYPERLINK("https://www.youtube.com/watch?v=Fx0QRcT0zMk&amp;t=48s", "Go to time")</f>
        <v/>
      </c>
    </row>
    <row r="3795">
      <c r="A3795">
        <f>HYPERLINK("https://www.youtube.com/watch?v=HNS8YP0KZYk", "Video")</f>
        <v/>
      </c>
      <c r="B3795" t="inlineStr">
        <is>
          <t>3:03</t>
        </is>
      </c>
      <c r="C3795" t="inlineStr">
        <is>
          <t>drive a Buick in some video but that's</t>
        </is>
      </c>
      <c r="D3795">
        <f>HYPERLINK("https://www.youtube.com/watch?v=HNS8YP0KZYk&amp;t=183s", "Go to time")</f>
        <v/>
      </c>
    </row>
    <row r="3796">
      <c r="A3796">
        <f>HYPERLINK("https://www.youtube.com/watch?v=C7OEyp-ZxEM", "Video")</f>
        <v/>
      </c>
      <c r="B3796" t="inlineStr">
        <is>
          <t>0:00</t>
        </is>
      </c>
      <c r="C3796" t="inlineStr">
        <is>
          <t>just months after being driven out of</t>
        </is>
      </c>
      <c r="D3796">
        <f>HYPERLINK("https://www.youtube.com/watch?v=C7OEyp-ZxEM&amp;t=0s", "Go to time")</f>
        <v/>
      </c>
    </row>
    <row r="3797">
      <c r="A3797">
        <f>HYPERLINK("https://www.youtube.com/watch?v=JA0xAZjEFo0", "Video")</f>
        <v/>
      </c>
      <c r="B3797" t="inlineStr">
        <is>
          <t>3:31</t>
        </is>
      </c>
      <c r="C3797" t="inlineStr">
        <is>
          <t>tried to drive recycling rates up by</t>
        </is>
      </c>
      <c r="D3797">
        <f>HYPERLINK("https://www.youtube.com/watch?v=JA0xAZjEFo0&amp;t=211s", "Go to time")</f>
        <v/>
      </c>
    </row>
    <row r="3798">
      <c r="A3798">
        <f>HYPERLINK("https://www.youtube.com/watch?v=JA0xAZjEFo0", "Video")</f>
        <v/>
      </c>
      <c r="B3798" t="inlineStr">
        <is>
          <t>4:09</t>
        </is>
      </c>
      <c r="C3798" t="inlineStr">
        <is>
          <t>drives up the processing cost the value</t>
        </is>
      </c>
      <c r="D3798">
        <f>HYPERLINK("https://www.youtube.com/watch?v=JA0xAZjEFo0&amp;t=249s", "Go to time")</f>
        <v/>
      </c>
    </row>
    <row r="3799">
      <c r="A3799">
        <f>HYPERLINK("https://www.youtube.com/watch?v=0R4e7VtoH9w", "Video")</f>
        <v/>
      </c>
      <c r="B3799" t="inlineStr">
        <is>
          <t>2:50</t>
        </is>
      </c>
      <c r="C3799" t="inlineStr">
        <is>
          <t>more forcefully which I think drives him</t>
        </is>
      </c>
      <c r="D3799">
        <f>HYPERLINK("https://www.youtube.com/watch?v=0R4e7VtoH9w&amp;t=170s", "Go to time")</f>
        <v/>
      </c>
    </row>
    <row r="3800">
      <c r="A3800">
        <f>HYPERLINK("https://www.youtube.com/watch?v=njFAFgC6bRQ", "Video")</f>
        <v/>
      </c>
      <c r="B3800" t="inlineStr">
        <is>
          <t>0:36</t>
        </is>
      </c>
      <c r="C3800" t="inlineStr">
        <is>
          <t>can drive pure electric but of course</t>
        </is>
      </c>
      <c r="D3800">
        <f>HYPERLINK("https://www.youtube.com/watch?v=njFAFgC6bRQ&amp;t=36s", "Go to time")</f>
        <v/>
      </c>
    </row>
    <row r="3801">
      <c r="A3801">
        <f>HYPERLINK("https://www.youtube.com/watch?v=njFAFgC6bRQ", "Video")</f>
        <v/>
      </c>
      <c r="B3801" t="inlineStr">
        <is>
          <t>0:58</t>
        </is>
      </c>
      <c r="C3801" t="inlineStr">
        <is>
          <t>car drives like a no joke Audi and the</t>
        </is>
      </c>
      <c r="D3801">
        <f>HYPERLINK("https://www.youtube.com/watch?v=njFAFgC6bRQ&amp;t=58s", "Go to time")</f>
        <v/>
      </c>
    </row>
    <row r="3802">
      <c r="A3802">
        <f>HYPERLINK("https://www.youtube.com/watch?v=em2xUpheUB4", "Video")</f>
        <v/>
      </c>
      <c r="B3802" t="inlineStr">
        <is>
          <t>0:09</t>
        </is>
      </c>
      <c r="C3802" t="inlineStr">
        <is>
          <t>Electronics is making a drive for</t>
        </is>
      </c>
      <c r="D3802">
        <f>HYPERLINK("https://www.youtube.com/watch?v=em2xUpheUB4&amp;t=9s", "Go to time")</f>
        <v/>
      </c>
    </row>
    <row r="3803">
      <c r="A3803">
        <f>HYPERLINK("https://www.youtube.com/watch?v=em2xUpheUB4", "Video")</f>
        <v/>
      </c>
      <c r="B3803" t="inlineStr">
        <is>
          <t>0:39</t>
        </is>
      </c>
      <c r="C3803" t="inlineStr">
        <is>
          <t>driverless vehicles as a promising</t>
        </is>
      </c>
      <c r="D3803">
        <f>HYPERLINK("https://www.youtube.com/watch?v=em2xUpheUB4&amp;t=39s", "Go to time")</f>
        <v/>
      </c>
    </row>
    <row r="3804">
      <c r="A3804">
        <f>HYPERLINK("https://www.youtube.com/watch?v=dSCzfoGa2C0", "Video")</f>
        <v/>
      </c>
      <c r="B3804" t="inlineStr">
        <is>
          <t>0:09</t>
        </is>
      </c>
      <c r="C3804" t="inlineStr">
        <is>
          <t>neal had a chance to drive it at GM's</t>
        </is>
      </c>
      <c r="D3804">
        <f>HYPERLINK("https://www.youtube.com/watch?v=dSCzfoGa2C0&amp;t=9s", "Go to time")</f>
        <v/>
      </c>
    </row>
    <row r="3805">
      <c r="A3805">
        <f>HYPERLINK("https://www.youtube.com/watch?v=dSCzfoGa2C0", "Video")</f>
        <v/>
      </c>
      <c r="B3805" t="inlineStr">
        <is>
          <t>1:07</t>
        </is>
      </c>
      <c r="C3805" t="inlineStr">
        <is>
          <t>Tesla okay so you had a chance to drive</t>
        </is>
      </c>
      <c r="D3805">
        <f>HYPERLINK("https://www.youtube.com/watch?v=dSCzfoGa2C0&amp;t=67s", "Go to time")</f>
        <v/>
      </c>
    </row>
    <row r="3806">
      <c r="A3806">
        <f>HYPERLINK("https://www.youtube.com/watch?v=dSCzfoGa2C0", "Video")</f>
        <v/>
      </c>
      <c r="B3806" t="inlineStr">
        <is>
          <t>1:13</t>
        </is>
      </c>
      <c r="C3806" t="inlineStr">
        <is>
          <t>had a chance to drive it around the</t>
        </is>
      </c>
      <c r="D3806">
        <f>HYPERLINK("https://www.youtube.com/watch?v=dSCzfoGa2C0&amp;t=73s", "Go to time")</f>
        <v/>
      </c>
    </row>
    <row r="3807">
      <c r="A3807">
        <f>HYPERLINK("https://www.youtube.com/watch?v=dSCzfoGa2C0", "Video")</f>
        <v/>
      </c>
      <c r="B3807" t="inlineStr">
        <is>
          <t>1:50</t>
        </is>
      </c>
      <c r="C3807" t="inlineStr">
        <is>
          <t>you've driven a lot of sexy cars can a</t>
        </is>
      </c>
      <c r="D3807">
        <f>HYPERLINK("https://www.youtube.com/watch?v=dSCzfoGa2C0&amp;t=110s", "Go to time")</f>
        <v/>
      </c>
    </row>
    <row r="3808">
      <c r="A3808">
        <f>HYPERLINK("https://www.youtube.com/watch?v=oLoZjW1uqjs", "Video")</f>
        <v/>
      </c>
      <c r="B3808" t="inlineStr">
        <is>
          <t>2:22</t>
        </is>
      </c>
      <c r="C3808" t="inlineStr">
        <is>
          <t>guarantee public safety and then drive</t>
        </is>
      </c>
      <c r="D3808">
        <f>HYPERLINK("https://www.youtube.com/watch?v=oLoZjW1uqjs&amp;t=142s", "Go to time")</f>
        <v/>
      </c>
    </row>
    <row r="3809">
      <c r="A3809">
        <f>HYPERLINK("https://www.youtube.com/watch?v=oLoZjW1uqjs", "Video")</f>
        <v/>
      </c>
      <c r="B3809" t="inlineStr">
        <is>
          <t>2:37</t>
        </is>
      </c>
      <c r="C3809" t="inlineStr">
        <is>
          <t>a two-tonon vehicle, drive all the way</t>
        </is>
      </c>
      <c r="D3809">
        <f>HYPERLINK("https://www.youtube.com/watch?v=oLoZjW1uqjs&amp;t=157s", "Go to time")</f>
        <v/>
      </c>
    </row>
    <row r="3810">
      <c r="A3810">
        <f>HYPERLINK("https://www.youtube.com/watch?v=Fi0c0cBufQA", "Video")</f>
        <v/>
      </c>
      <c r="B3810" t="inlineStr">
        <is>
          <t>4:52</t>
        </is>
      </c>
      <c r="C3810" t="inlineStr">
        <is>
          <t>from your own cells we are able to drive</t>
        </is>
      </c>
      <c r="D3810">
        <f>HYPERLINK("https://www.youtube.com/watch?v=Fi0c0cBufQA&amp;t=292s", "Go to time")</f>
        <v/>
      </c>
    </row>
    <row r="3811">
      <c r="A3811">
        <f>HYPERLINK("https://www.youtube.com/watch?v=3JKWmWAlMD4", "Video")</f>
        <v/>
      </c>
      <c r="B3811" t="inlineStr">
        <is>
          <t>9:04</t>
        </is>
      </c>
      <c r="C3811" t="inlineStr">
        <is>
          <t>drive to and don't have to fly to is a</t>
        </is>
      </c>
      <c r="D3811">
        <f>HYPERLINK("https://www.youtube.com/watch?v=3JKWmWAlMD4&amp;t=544s", "Go to time")</f>
        <v/>
      </c>
    </row>
    <row r="3812">
      <c r="A3812">
        <f>HYPERLINK("https://www.youtube.com/watch?v=3JKWmWAlMD4", "Video")</f>
        <v/>
      </c>
      <c r="B3812" t="inlineStr">
        <is>
          <t>16:10</t>
        </is>
      </c>
      <c r="C3812" t="inlineStr">
        <is>
          <t>drive to work one of its biggest</t>
        </is>
      </c>
      <c r="D3812">
        <f>HYPERLINK("https://www.youtube.com/watch?v=3JKWmWAlMD4&amp;t=970s", "Go to time")</f>
        <v/>
      </c>
    </row>
    <row r="3813">
      <c r="A3813">
        <f>HYPERLINK("https://www.youtube.com/watch?v=3JKWmWAlMD4", "Video")</f>
        <v/>
      </c>
      <c r="B3813" t="inlineStr">
        <is>
          <t>20:56</t>
        </is>
      </c>
      <c r="C3813" t="inlineStr">
        <is>
          <t>ordering platforms helped Drive drive up</t>
        </is>
      </c>
      <c r="D3813">
        <f>HYPERLINK("https://www.youtube.com/watch?v=3JKWmWAlMD4&amp;t=1256s", "Go to time")</f>
        <v/>
      </c>
    </row>
    <row r="3814">
      <c r="A3814">
        <f>HYPERLINK("https://www.youtube.com/watch?v=3JKWmWAlMD4", "Video")</f>
        <v/>
      </c>
      <c r="B3814" t="inlineStr">
        <is>
          <t>23:03</t>
        </is>
      </c>
      <c r="C3814" t="inlineStr">
        <is>
          <t>drivethru but when you order ahead of</t>
        </is>
      </c>
      <c r="D3814">
        <f>HYPERLINK("https://www.youtube.com/watch?v=3JKWmWAlMD4&amp;t=1383s", "Go to time")</f>
        <v/>
      </c>
    </row>
    <row r="3815">
      <c r="A3815">
        <f>HYPERLINK("https://www.youtube.com/watch?v=3JKWmWAlMD4", "Video")</f>
        <v/>
      </c>
      <c r="B3815" t="inlineStr">
        <is>
          <t>23:07</t>
        </is>
      </c>
      <c r="C3815" t="inlineStr">
        <is>
          <t>and so there's no ly you drive up and</t>
        </is>
      </c>
      <c r="D3815">
        <f>HYPERLINK("https://www.youtube.com/watch?v=3JKWmWAlMD4&amp;t=1387s", "Go to time")</f>
        <v/>
      </c>
    </row>
    <row r="3816">
      <c r="A3816">
        <f>HYPERLINK("https://www.youtube.com/watch?v=3JKWmWAlMD4", "Video")</f>
        <v/>
      </c>
      <c r="B3816" t="inlineStr">
        <is>
          <t>37:32</t>
        </is>
      </c>
      <c r="C3816" t="inlineStr">
        <is>
          <t>parks even movies so what has driven the</t>
        </is>
      </c>
      <c r="D3816">
        <f>HYPERLINK("https://www.youtube.com/watch?v=3JKWmWAlMD4&amp;t=2252s", "Go to time")</f>
        <v/>
      </c>
    </row>
    <row r="3817">
      <c r="A3817">
        <f>HYPERLINK("https://www.youtube.com/watch?v=3JKWmWAlMD4", "Video")</f>
        <v/>
      </c>
      <c r="B3817" t="inlineStr">
        <is>
          <t>55:42</t>
        </is>
      </c>
      <c r="C3817" t="inlineStr">
        <is>
          <t>after a delivery driver struck another</t>
        </is>
      </c>
      <c r="D3817">
        <f>HYPERLINK("https://www.youtube.com/watch?v=3JKWmWAlMD4&amp;t=3342s", "Go to time")</f>
        <v/>
      </c>
    </row>
    <row r="3818">
      <c r="A3818">
        <f>HYPERLINK("https://www.youtube.com/watch?v=3JKWmWAlMD4", "Video")</f>
        <v/>
      </c>
      <c r="B3818" t="inlineStr">
        <is>
          <t>58:12</t>
        </is>
      </c>
      <c r="C3818" t="inlineStr">
        <is>
          <t>Domino's business in the US as drivers</t>
        </is>
      </c>
      <c r="D3818">
        <f>HYPERLINK("https://www.youtube.com/watch?v=3JKWmWAlMD4&amp;t=3492s", "Go to time")</f>
        <v/>
      </c>
    </row>
    <row r="3819">
      <c r="A3819">
        <f>HYPERLINK("https://www.youtube.com/watch?v=3JKWmWAlMD4", "Video")</f>
        <v/>
      </c>
      <c r="B3819" t="inlineStr">
        <is>
          <t>58:19</t>
        </is>
      </c>
      <c r="C3819" t="inlineStr">
        <is>
          <t>industrywide delivery driver shortage</t>
        </is>
      </c>
      <c r="D3819">
        <f>HYPERLINK("https://www.youtube.com/watch?v=3JKWmWAlMD4&amp;t=3499s", "Go to time")</f>
        <v/>
      </c>
    </row>
    <row r="3820">
      <c r="A3820">
        <f>HYPERLINK("https://www.youtube.com/watch?v=3JKWmWAlMD4", "Video")</f>
        <v/>
      </c>
      <c r="B3820" t="inlineStr">
        <is>
          <t>58:53</t>
        </is>
      </c>
      <c r="C3820" t="inlineStr">
        <is>
          <t>recruit new drivers ERS and it's now</t>
        </is>
      </c>
      <c r="D3820">
        <f>HYPERLINK("https://www.youtube.com/watch?v=3JKWmWAlMD4&amp;t=3533s", "Go to time")</f>
        <v/>
      </c>
    </row>
    <row r="3821">
      <c r="A3821">
        <f>HYPERLINK("https://www.youtube.com/watch?v=JEikQP8-es0", "Video")</f>
        <v/>
      </c>
      <c r="B3821" t="inlineStr">
        <is>
          <t>2:21</t>
        </is>
      </c>
      <c r="C3821" t="inlineStr">
        <is>
          <t>will drive people to be hardcore,</t>
        </is>
      </c>
      <c r="D3821">
        <f>HYPERLINK("https://www.youtube.com/watch?v=JEikQP8-es0&amp;t=141s", "Go to time")</f>
        <v/>
      </c>
    </row>
    <row r="3822">
      <c r="A3822">
        <f>HYPERLINK("https://www.youtube.com/watch?v=an9TJT2dhHM", "Video")</f>
        <v/>
      </c>
      <c r="B3822" t="inlineStr">
        <is>
          <t>2:59</t>
        </is>
      </c>
      <c r="C3822" t="inlineStr">
        <is>
          <t>to drive revenue higher
by raising their prices,</t>
        </is>
      </c>
      <c r="D3822">
        <f>HYPERLINK("https://www.youtube.com/watch?v=an9TJT2dhHM&amp;t=179s", "Go to time")</f>
        <v/>
      </c>
    </row>
    <row r="3823">
      <c r="A3823">
        <f>HYPERLINK("https://www.youtube.com/watch?v=I66aefXkuwI", "Video")</f>
        <v/>
      </c>
      <c r="B3823" t="inlineStr">
        <is>
          <t>1:39</t>
        </is>
      </c>
      <c r="C3823" t="inlineStr">
        <is>
          <t>Emerging Markets driven by China's</t>
        </is>
      </c>
      <c r="D3823">
        <f>HYPERLINK("https://www.youtube.com/watch?v=I66aefXkuwI&amp;t=99s", "Go to time")</f>
        <v/>
      </c>
    </row>
    <row r="3824">
      <c r="A3824">
        <f>HYPERLINK("https://www.youtube.com/watch?v=NmomyZe_qdk", "Video")</f>
        <v/>
      </c>
      <c r="B3824" t="inlineStr">
        <is>
          <t>2:02</t>
        </is>
      </c>
      <c r="C3824" t="inlineStr">
        <is>
          <t>on the rear driver's side.</t>
        </is>
      </c>
      <c r="D3824">
        <f>HYPERLINK("https://www.youtube.com/watch?v=NmomyZe_qdk&amp;t=122s", "Go to time")</f>
        <v/>
      </c>
    </row>
    <row r="3825">
      <c r="A3825">
        <f>HYPERLINK("https://www.youtube.com/watch?v=NmomyZe_qdk", "Video")</f>
        <v/>
      </c>
      <c r="B3825" t="inlineStr">
        <is>
          <t>2:03</t>
        </is>
      </c>
      <c r="C3825" t="inlineStr">
        <is>
          <t>Tesla drivers always back into the spots</t>
        </is>
      </c>
      <c r="D3825">
        <f>HYPERLINK("https://www.youtube.com/watch?v=NmomyZe_qdk&amp;t=123s", "Go to time")</f>
        <v/>
      </c>
    </row>
    <row r="3826">
      <c r="A3826">
        <f>HYPERLINK("https://www.youtube.com/watch?v=NmomyZe_qdk", "Video")</f>
        <v/>
      </c>
      <c r="B3826" t="inlineStr">
        <is>
          <t>2:13</t>
        </is>
      </c>
      <c r="C3826" t="inlineStr">
        <is>
          <t>on the front driver's side.</t>
        </is>
      </c>
      <c r="D3826">
        <f>HYPERLINK("https://www.youtube.com/watch?v=NmomyZe_qdk&amp;t=133s", "Go to time")</f>
        <v/>
      </c>
    </row>
    <row r="3827">
      <c r="A3827">
        <f>HYPERLINK("https://www.youtube.com/watch?v=39hU8nkw1Ow", "Video")</f>
        <v/>
      </c>
      <c r="B3827" t="inlineStr">
        <is>
          <t>1:26</t>
        </is>
      </c>
      <c r="C3827" t="inlineStr">
        <is>
          <t>that looked like a USB flash drive,</t>
        </is>
      </c>
      <c r="D3827">
        <f>HYPERLINK("https://www.youtube.com/watch?v=39hU8nkw1Ow&amp;t=86s", "Go to time")</f>
        <v/>
      </c>
    </row>
    <row r="3828">
      <c r="A3828">
        <f>HYPERLINK("https://www.youtube.com/watch?v=XwphrcH1OHQ", "Video")</f>
        <v/>
      </c>
      <c r="B3828" t="inlineStr">
        <is>
          <t>1:47</t>
        </is>
      </c>
      <c r="C3828" t="inlineStr">
        <is>
          <t>industrial food system driven primarily</t>
        </is>
      </c>
      <c r="D3828">
        <f>HYPERLINK("https://www.youtube.com/watch?v=XwphrcH1OHQ&amp;t=107s", "Go to time")</f>
        <v/>
      </c>
    </row>
    <row r="3829">
      <c r="A3829">
        <f>HYPERLINK("https://www.youtube.com/watch?v=rUsYYG3z-oA", "Video")</f>
        <v/>
      </c>
      <c r="B3829" t="inlineStr">
        <is>
          <t>0:14</t>
        </is>
      </c>
      <c r="C3829" t="inlineStr">
        <is>
          <t>driver. He called you a marketing</t>
        </is>
      </c>
      <c r="D3829">
        <f>HYPERLINK("https://www.youtube.com/watch?v=rUsYYG3z-oA&amp;t=14s", "Go to time")</f>
        <v/>
      </c>
    </row>
    <row r="3830">
      <c r="A3830">
        <f>HYPERLINK("https://www.youtube.com/watch?v=rUsYYG3z-oA", "Video")</f>
        <v/>
      </c>
      <c r="B3830" t="inlineStr">
        <is>
          <t>0:17</t>
        </is>
      </c>
      <c r="C3830" t="inlineStr">
        <is>
          <t>driver. Uh lots of drivers can drive</t>
        </is>
      </c>
      <c r="D3830">
        <f>HYPERLINK("https://www.youtube.com/watch?v=rUsYYG3z-oA&amp;t=17s", "Go to time")</f>
        <v/>
      </c>
    </row>
    <row r="3831">
      <c r="A3831">
        <f>HYPERLINK("https://www.youtube.com/watch?v=rUsYYG3z-oA", "Video")</f>
        <v/>
      </c>
      <c r="B3831" t="inlineStr">
        <is>
          <t>0:19</t>
        </is>
      </c>
      <c r="C3831" t="inlineStr">
        <is>
          <t>fast, but very few drivers can race." He</t>
        </is>
      </c>
      <c r="D3831">
        <f>HYPERLINK("https://www.youtube.com/watch?v=rUsYYG3z-oA&amp;t=19s", "Go to time")</f>
        <v/>
      </c>
    </row>
    <row r="3832">
      <c r="A3832">
        <f>HYPERLINK("https://www.youtube.com/watch?v=rUsYYG3z-oA", "Video")</f>
        <v/>
      </c>
      <c r="B3832" t="inlineStr">
        <is>
          <t>1:15</t>
        </is>
      </c>
      <c r="C3832" t="inlineStr">
        <is>
          <t>drive and she's not a race car driver to</t>
        </is>
      </c>
      <c r="D3832">
        <f>HYPERLINK("https://www.youtube.com/watch?v=rUsYYG3z-oA&amp;t=75s", "Go to time")</f>
        <v/>
      </c>
    </row>
    <row r="3833">
      <c r="A3833">
        <f>HYPERLINK("https://www.youtube.com/watch?v=rUsYYG3z-oA", "Video")</f>
        <v/>
      </c>
      <c r="B3833" t="inlineStr">
        <is>
          <t>1:17</t>
        </is>
      </c>
      <c r="C3833" t="inlineStr">
        <is>
          <t>she can drive and she's a race car</t>
        </is>
      </c>
      <c r="D3833">
        <f>HYPERLINK("https://www.youtube.com/watch?v=rUsYYG3z-oA&amp;t=77s", "Go to time")</f>
        <v/>
      </c>
    </row>
    <row r="3834">
      <c r="A3834">
        <f>HYPERLINK("https://www.youtube.com/watch?v=rUsYYG3z-oA", "Video")</f>
        <v/>
      </c>
      <c r="B3834" t="inlineStr">
        <is>
          <t>1:18</t>
        </is>
      </c>
      <c r="C3834" t="inlineStr">
        <is>
          <t>driver and they tell why. So, there's a</t>
        </is>
      </c>
      <c r="D3834">
        <f>HYPERLINK("https://www.youtube.com/watch?v=rUsYYG3z-oA&amp;t=78s", "Go to time")</f>
        <v/>
      </c>
    </row>
    <row r="3835">
      <c r="A3835">
        <f>HYPERLINK("https://www.youtube.com/watch?v=qy_EFQfylw8", "Video")</f>
        <v/>
      </c>
      <c r="B3835" t="inlineStr">
        <is>
          <t>2:07</t>
        </is>
      </c>
      <c r="C3835" t="inlineStr">
        <is>
          <t>down the highway but the American drive</t>
        </is>
      </c>
      <c r="D3835">
        <f>HYPERLINK("https://www.youtube.com/watch?v=qy_EFQfylw8&amp;t=127s", "Go to time")</f>
        <v/>
      </c>
    </row>
    <row r="3836">
      <c r="A3836">
        <f>HYPERLINK("https://www.youtube.com/watch?v=qy_EFQfylw8", "Video")</f>
        <v/>
      </c>
      <c r="B3836" t="inlineStr">
        <is>
          <t>3:31</t>
        </is>
      </c>
      <c r="C3836" t="inlineStr">
        <is>
          <t>to drive on this famous slab of cement</t>
        </is>
      </c>
      <c r="D3836">
        <f>HYPERLINK("https://www.youtube.com/watch?v=qy_EFQfylw8&amp;t=211s", "Go to time")</f>
        <v/>
      </c>
    </row>
    <row r="3837">
      <c r="A3837">
        <f>HYPERLINK("https://www.youtube.com/watch?v=AL9am66wOMU", "Video")</f>
        <v/>
      </c>
      <c r="B3837" t="inlineStr">
        <is>
          <t>2:26</t>
        </is>
      </c>
      <c r="C3837" t="inlineStr">
        <is>
          <t>registered it has a driver's license</t>
        </is>
      </c>
      <c r="D3837">
        <f>HYPERLINK("https://www.youtube.com/watch?v=AL9am66wOMU&amp;t=146s", "Go to time")</f>
        <v/>
      </c>
    </row>
    <row r="3838">
      <c r="A3838">
        <f>HYPERLINK("https://www.youtube.com/watch?v=ArTxqKabgqo", "Video")</f>
        <v/>
      </c>
      <c r="B3838" t="inlineStr">
        <is>
          <t>2:06</t>
        </is>
      </c>
      <c r="C3838" t="inlineStr">
        <is>
          <t>that's we we plan to drive a truck right</t>
        </is>
      </c>
      <c r="D3838">
        <f>HYPERLINK("https://www.youtube.com/watch?v=ArTxqKabgqo&amp;t=126s", "Go to time")</f>
        <v/>
      </c>
    </row>
    <row r="3839">
      <c r="A3839">
        <f>HYPERLINK("https://www.youtube.com/watch?v=5rNMQnTYVYc", "Video")</f>
        <v/>
      </c>
      <c r="B3839" t="inlineStr">
        <is>
          <t>2:58</t>
        </is>
      </c>
      <c r="C3839" t="inlineStr">
        <is>
          <t>and the war in Ukraine which has driven</t>
        </is>
      </c>
      <c r="D3839">
        <f>HYPERLINK("https://www.youtube.com/watch?v=5rNMQnTYVYc&amp;t=178s", "Go to time")</f>
        <v/>
      </c>
    </row>
    <row r="3840">
      <c r="A3840">
        <f>HYPERLINK("https://www.youtube.com/watch?v=s6dfbmBAOKE", "Video")</f>
        <v/>
      </c>
      <c r="B3840" t="inlineStr">
        <is>
          <t>2:25</t>
        </is>
      </c>
      <c r="C3840" t="inlineStr">
        <is>
          <t>- We are looking to hire drivers,</t>
        </is>
      </c>
      <c r="D3840">
        <f>HYPERLINK("https://www.youtube.com/watch?v=s6dfbmBAOKE&amp;t=145s", "Go to time")</f>
        <v/>
      </c>
    </row>
    <row r="3841">
      <c r="A3841">
        <f>HYPERLINK("https://www.youtube.com/watch?v=s6dfbmBAOKE", "Video")</f>
        <v/>
      </c>
      <c r="B3841" t="inlineStr">
        <is>
          <t>2:28</t>
        </is>
      </c>
      <c r="C3841" t="inlineStr">
        <is>
          <t>both tractor trailer drivers</t>
        </is>
      </c>
      <c r="D3841">
        <f>HYPERLINK("https://www.youtube.com/watch?v=s6dfbmBAOKE&amp;t=148s", "Go to time")</f>
        <v/>
      </c>
    </row>
    <row r="3842">
      <c r="A3842">
        <f>HYPERLINK("https://www.youtube.com/watch?v=s6dfbmBAOKE", "Video")</f>
        <v/>
      </c>
      <c r="B3842" t="inlineStr">
        <is>
          <t>2:30</t>
        </is>
      </c>
      <c r="C3842" t="inlineStr">
        <is>
          <t>and local delivery drivers.</t>
        </is>
      </c>
      <c r="D3842">
        <f>HYPERLINK("https://www.youtube.com/watch?v=s6dfbmBAOKE&amp;t=150s", "Go to time")</f>
        <v/>
      </c>
    </row>
    <row r="3843">
      <c r="A3843">
        <f>HYPERLINK("https://www.youtube.com/watch?v=kbrDkJS2BIY", "Video")</f>
        <v/>
      </c>
      <c r="B3843" t="inlineStr">
        <is>
          <t>0:53</t>
        </is>
      </c>
      <c r="C3843" t="inlineStr">
        <is>
          <t>there are quite a few and drivers have</t>
        </is>
      </c>
      <c r="D3843">
        <f>HYPERLINK("https://www.youtube.com/watch?v=kbrDkJS2BIY&amp;t=53s", "Go to time")</f>
        <v/>
      </c>
    </row>
    <row r="3844">
      <c r="A3844">
        <f>HYPERLINK("https://www.youtube.com/watch?v=VJ7Ib7SQuDQ", "Video")</f>
        <v/>
      </c>
      <c r="B3844" t="inlineStr">
        <is>
          <t>0:34</t>
        </is>
      </c>
      <c r="C3844" t="inlineStr">
        <is>
          <t>driverless cars making them more</t>
        </is>
      </c>
      <c r="D3844">
        <f>HYPERLINK("https://www.youtube.com/watch?v=VJ7Ib7SQuDQ&amp;t=34s", "Go to time")</f>
        <v/>
      </c>
    </row>
    <row r="3845">
      <c r="A3845">
        <f>HYPERLINK("https://www.youtube.com/watch?v=FxC_Rufkx-0", "Video")</f>
        <v/>
      </c>
      <c r="B3845" t="inlineStr">
        <is>
          <t>0:32</t>
        </is>
      </c>
      <c r="C3845" t="inlineStr">
        <is>
          <t>They drive people to those theaters</t>
        </is>
      </c>
      <c r="D3845">
        <f>HYPERLINK("https://www.youtube.com/watch?v=FxC_Rufkx-0&amp;t=32s", "Go to time")</f>
        <v/>
      </c>
    </row>
    <row r="3846">
      <c r="A3846">
        <f>HYPERLINK("https://www.youtube.com/watch?v=FxC_Rufkx-0", "Video")</f>
        <v/>
      </c>
      <c r="B3846" t="inlineStr">
        <is>
          <t>0:34</t>
        </is>
      </c>
      <c r="C3846" t="inlineStr">
        <is>
          <t>or they drive people to download
that subscription service,</t>
        </is>
      </c>
      <c r="D3846">
        <f>HYPERLINK("https://www.youtube.com/watch?v=FxC_Rufkx-0&amp;t=34s", "Go to time")</f>
        <v/>
      </c>
    </row>
    <row r="3847">
      <c r="A3847">
        <f>HYPERLINK("https://www.youtube.com/watch?v=26vKltVwkwE", "Video")</f>
        <v/>
      </c>
      <c r="B3847" t="inlineStr">
        <is>
          <t>0:10</t>
        </is>
      </c>
      <c r="C3847" t="inlineStr">
        <is>
          <t>was shot by another driver who had</t>
        </is>
      </c>
      <c r="D3847">
        <f>HYPERLINK("https://www.youtube.com/watch?v=26vKltVwkwE&amp;t=10s", "Go to time")</f>
        <v/>
      </c>
    </row>
    <row r="3848">
      <c r="A3848">
        <f>HYPERLINK("https://www.youtube.com/watch?v=7JilH9cXn1k", "Video")</f>
        <v/>
      </c>
      <c r="B3848" t="inlineStr">
        <is>
          <t>1:18</t>
        </is>
      </c>
      <c r="C3848" t="inlineStr">
        <is>
          <t>inversion is being driven by the</t>
        </is>
      </c>
      <c r="D3848">
        <f>HYPERLINK("https://www.youtube.com/watch?v=7JilH9cXn1k&amp;t=78s", "Go to time")</f>
        <v/>
      </c>
    </row>
    <row r="3849">
      <c r="A3849">
        <f>HYPERLINK("https://www.youtube.com/watch?v=qdCi9keGghY", "Video")</f>
        <v/>
      </c>
      <c r="B3849" t="inlineStr">
        <is>
          <t>0:52</t>
        </is>
      </c>
      <c r="C3849" t="inlineStr">
        <is>
          <t>you cannot get to a market driven price.</t>
        </is>
      </c>
      <c r="D3849">
        <f>HYPERLINK("https://www.youtube.com/watch?v=qdCi9keGghY&amp;t=52s", "Go to time")</f>
        <v/>
      </c>
    </row>
    <row r="3850">
      <c r="A3850">
        <f>HYPERLINK("https://www.youtube.com/watch?v=kNiIspelPlQ", "Video")</f>
        <v/>
      </c>
      <c r="B3850" t="inlineStr">
        <is>
          <t>0:14</t>
        </is>
      </c>
      <c r="C3850" t="inlineStr">
        <is>
          <t>So, what has driven
the $44 billion empire?</t>
        </is>
      </c>
      <c r="D3850">
        <f>HYPERLINK("https://www.youtube.com/watch?v=kNiIspelPlQ&amp;t=14s", "Go to time")</f>
        <v/>
      </c>
    </row>
    <row r="3851">
      <c r="A3851">
        <f>HYPERLINK("https://www.youtube.com/watch?v=WcyAhENjyCw", "Video")</f>
        <v/>
      </c>
      <c r="B3851" t="inlineStr">
        <is>
          <t>1:12</t>
        </is>
      </c>
      <c r="C3851" t="inlineStr">
        <is>
          <t>- One of the big drivers
of this is services,</t>
        </is>
      </c>
      <c r="D3851">
        <f>HYPERLINK("https://www.youtube.com/watch?v=WcyAhENjyCw&amp;t=72s", "Go to time")</f>
        <v/>
      </c>
    </row>
    <row r="3852">
      <c r="A3852">
        <f>HYPERLINK("https://www.youtube.com/watch?v=ndiTEVcICSM", "Video")</f>
        <v/>
      </c>
      <c r="B3852" t="inlineStr">
        <is>
          <t>4:18</t>
        </is>
      </c>
      <c r="C3852" t="inlineStr">
        <is>
          <t>the Boston area it may be a longer drive</t>
        </is>
      </c>
      <c r="D3852">
        <f>HYPERLINK("https://www.youtube.com/watch?v=ndiTEVcICSM&amp;t=258s", "Go to time")</f>
        <v/>
      </c>
    </row>
    <row r="3853">
      <c r="A3853">
        <f>HYPERLINK("https://www.youtube.com/watch?v=mV1lmg0crvg", "Video")</f>
        <v/>
      </c>
      <c r="B3853" t="inlineStr">
        <is>
          <t>0:42</t>
        </is>
      </c>
      <c r="C3853" t="inlineStr">
        <is>
          <t>for future Mobility 47% hard drive 27%</t>
        </is>
      </c>
      <c r="D3853">
        <f>HYPERLINK("https://www.youtube.com/watch?v=mV1lmg0crvg&amp;t=42s", "Go to time")</f>
        <v/>
      </c>
    </row>
    <row r="3854">
      <c r="A3854">
        <f>HYPERLINK("https://www.youtube.com/watch?v=mV1lmg0crvg", "Video")</f>
        <v/>
      </c>
      <c r="B3854" t="inlineStr">
        <is>
          <t>1:16</t>
        </is>
      </c>
      <c r="C3854" t="inlineStr">
        <is>
          <t>game so I actually have driven an Open</t>
        </is>
      </c>
      <c r="D3854">
        <f>HYPERLINK("https://www.youtube.com/watch?v=mV1lmg0crvg&amp;t=76s", "Go to time")</f>
        <v/>
      </c>
    </row>
    <row r="3855">
      <c r="A3855">
        <f>HYPERLINK("https://www.youtube.com/watch?v=MqxP_Y0XLZQ", "Video")</f>
        <v/>
      </c>
      <c r="B3855" t="inlineStr">
        <is>
          <t>0:03</t>
        </is>
      </c>
      <c r="C3855" t="inlineStr">
        <is>
          <t>gas has been rising now drivers could be</t>
        </is>
      </c>
      <c r="D3855">
        <f>HYPERLINK("https://www.youtube.com/watch?v=MqxP_Y0XLZQ&amp;t=3s", "Go to time")</f>
        <v/>
      </c>
    </row>
    <row r="3856">
      <c r="A3856">
        <f>HYPERLINK("https://www.youtube.com/watch?v=MqxP_Y0XLZQ", "Video")</f>
        <v/>
      </c>
      <c r="B3856" t="inlineStr">
        <is>
          <t>2:04</t>
        </is>
      </c>
      <c r="C3856" t="inlineStr">
        <is>
          <t>take more oil off the market and drive</t>
        </is>
      </c>
      <c r="D3856">
        <f>HYPERLINK("https://www.youtube.com/watch?v=MqxP_Y0XLZQ&amp;t=124s", "Go to time")</f>
        <v/>
      </c>
    </row>
    <row r="3857">
      <c r="A3857">
        <f>HYPERLINK("https://www.youtube.com/watch?v=MqxP_Y0XLZQ", "Video")</f>
        <v/>
      </c>
      <c r="B3857" t="inlineStr">
        <is>
          <t>2:32</t>
        </is>
      </c>
      <c r="C3857" t="inlineStr">
        <is>
          <t>but there are also drivers that could</t>
        </is>
      </c>
      <c r="D3857">
        <f>HYPERLINK("https://www.youtube.com/watch?v=MqxP_Y0XLZQ&amp;t=152s", "Go to time")</f>
        <v/>
      </c>
    </row>
    <row r="3858">
      <c r="A3858">
        <f>HYPERLINK("https://www.youtube.com/watch?v=MqxP_Y0XLZQ", "Video")</f>
        <v/>
      </c>
      <c r="B3858" t="inlineStr">
        <is>
          <t>3:26</t>
        </is>
      </c>
      <c r="C3858" t="inlineStr">
        <is>
          <t>global stock markets have helped drive</t>
        </is>
      </c>
      <c r="D3858">
        <f>HYPERLINK("https://www.youtube.com/watch?v=MqxP_Y0XLZQ&amp;t=206s", "Go to time")</f>
        <v/>
      </c>
    </row>
    <row r="3859">
      <c r="A3859">
        <f>HYPERLINK("https://www.youtube.com/watch?v=nOpAQrtUPac", "Video")</f>
        <v/>
      </c>
      <c r="B3859" t="inlineStr">
        <is>
          <t>2:06</t>
        </is>
      </c>
      <c r="C3859" t="inlineStr">
        <is>
          <t>that you can't drive it into the ground.</t>
        </is>
      </c>
      <c r="D3859">
        <f>HYPERLINK("https://www.youtube.com/watch?v=nOpAQrtUPac&amp;t=126s", "Go to time")</f>
        <v/>
      </c>
    </row>
    <row r="3860">
      <c r="A3860">
        <f>HYPERLINK("https://www.youtube.com/watch?v=bB0CFaCXksU", "Video")</f>
        <v/>
      </c>
      <c r="B3860" t="inlineStr">
        <is>
          <t>2:57</t>
        </is>
      </c>
      <c r="C3860" t="inlineStr">
        <is>
          <t>restocking gas stations because
of a lack of truck drivers.</t>
        </is>
      </c>
      <c r="D3860">
        <f>HYPERLINK("https://www.youtube.com/watch?v=bB0CFaCXksU&amp;t=177s", "Go to time")</f>
        <v/>
      </c>
    </row>
    <row r="3861">
      <c r="A3861">
        <f>HYPERLINK("https://www.youtube.com/watch?v=bB0CFaCXksU", "Video")</f>
        <v/>
      </c>
      <c r="B3861" t="inlineStr">
        <is>
          <t>3:44</t>
        </is>
      </c>
      <c r="C3861" t="inlineStr">
        <is>
          <t>experts say price
increases are being driven</t>
        </is>
      </c>
      <c r="D3861">
        <f>HYPERLINK("https://www.youtube.com/watch?v=bB0CFaCXksU&amp;t=224s", "Go to time")</f>
        <v/>
      </c>
    </row>
    <row r="3862">
      <c r="A3862">
        <f>HYPERLINK("https://www.youtube.com/watch?v=iTipwlxYSfc", "Video")</f>
        <v/>
      </c>
      <c r="B3862" t="inlineStr">
        <is>
          <t>0:27</t>
        </is>
      </c>
      <c r="C3862" t="inlineStr">
        <is>
          <t>drivers will be able to download</t>
        </is>
      </c>
      <c r="D3862">
        <f>HYPERLINK("https://www.youtube.com/watch?v=iTipwlxYSfc&amp;t=27s", "Go to time")</f>
        <v/>
      </c>
    </row>
    <row r="3863">
      <c r="A3863">
        <f>HYPERLINK("https://www.youtube.com/watch?v=iTipwlxYSfc", "Video")</f>
        <v/>
      </c>
      <c r="B3863" t="inlineStr">
        <is>
          <t>0:53</t>
        </is>
      </c>
      <c r="C3863" t="inlineStr">
        <is>
          <t>persuading car drivers to move off their</t>
        </is>
      </c>
      <c r="D3863">
        <f>HYPERLINK("https://www.youtube.com/watch?v=iTipwlxYSfc&amp;t=53s", "Go to time")</f>
        <v/>
      </c>
    </row>
    <row r="3864">
      <c r="A3864">
        <f>HYPERLINK("https://www.youtube.com/watch?v=iTipwlxYSfc", "Video")</f>
        <v/>
      </c>
      <c r="B3864" t="inlineStr">
        <is>
          <t>3:46</t>
        </is>
      </c>
      <c r="C3864" t="inlineStr">
        <is>
          <t>driver through facial recognition and</t>
        </is>
      </c>
      <c r="D3864">
        <f>HYPERLINK("https://www.youtube.com/watch?v=iTipwlxYSfc&amp;t=226s", "Go to time")</f>
        <v/>
      </c>
    </row>
    <row r="3865">
      <c r="A3865">
        <f>HYPERLINK("https://www.youtube.com/watch?v=iTipwlxYSfc", "Video")</f>
        <v/>
      </c>
      <c r="B3865" t="inlineStr">
        <is>
          <t>3:55</t>
        </is>
      </c>
      <c r="C3865" t="inlineStr">
        <is>
          <t>potentially be used to let drivers</t>
        </is>
      </c>
      <c r="D3865">
        <f>HYPERLINK("https://www.youtube.com/watch?v=iTipwlxYSfc&amp;t=235s", "Go to time")</f>
        <v/>
      </c>
    </row>
    <row r="3866">
      <c r="A3866">
        <f>HYPERLINK("https://www.youtube.com/watch?v=iTipwlxYSfc", "Video")</f>
        <v/>
      </c>
      <c r="B3866" t="inlineStr">
        <is>
          <t>3:59</t>
        </is>
      </c>
      <c r="C3866" t="inlineStr">
        <is>
          <t>driver assistance system called</t>
        </is>
      </c>
      <c r="D3866">
        <f>HYPERLINK("https://www.youtube.com/watch?v=iTipwlxYSfc&amp;t=239s", "Go to time")</f>
        <v/>
      </c>
    </row>
    <row r="3867">
      <c r="A3867">
        <f>HYPERLINK("https://www.youtube.com/watch?v=iTipwlxYSfc", "Video")</f>
        <v/>
      </c>
      <c r="B3867" t="inlineStr">
        <is>
          <t>4:12</t>
        </is>
      </c>
      <c r="C3867" t="inlineStr">
        <is>
          <t>tesla the company lets drivers subscribe</t>
        </is>
      </c>
      <c r="D3867">
        <f>HYPERLINK("https://www.youtube.com/watch?v=iTipwlxYSfc&amp;t=252s", "Go to time")</f>
        <v/>
      </c>
    </row>
    <row r="3868">
      <c r="A3868">
        <f>HYPERLINK("https://www.youtube.com/watch?v=iTipwlxYSfc", "Video")</f>
        <v/>
      </c>
      <c r="B3868" t="inlineStr">
        <is>
          <t>4:17</t>
        </is>
      </c>
      <c r="C3868" t="inlineStr">
        <is>
          <t>offers a suite of driver assistance</t>
        </is>
      </c>
      <c r="D3868">
        <f>HYPERLINK("https://www.youtube.com/watch?v=iTipwlxYSfc&amp;t=257s", "Go to time")</f>
        <v/>
      </c>
    </row>
    <row r="3869">
      <c r="A3869">
        <f>HYPERLINK("https://www.youtube.com/watch?v=iTipwlxYSfc", "Video")</f>
        <v/>
      </c>
      <c r="B3869" t="inlineStr">
        <is>
          <t>4:50</t>
        </is>
      </c>
      <c r="C3869" t="inlineStr">
        <is>
          <t>loaded with hardware that drivers may</t>
        </is>
      </c>
      <c r="D3869">
        <f>HYPERLINK("https://www.youtube.com/watch?v=iTipwlxYSfc&amp;t=290s", "Go to time")</f>
        <v/>
      </c>
    </row>
    <row r="3870">
      <c r="A3870">
        <f>HYPERLINK("https://www.youtube.com/watch?v=EMXnJMCoFYI", "Video")</f>
        <v/>
      </c>
      <c r="B3870" t="inlineStr">
        <is>
          <t>25:09</t>
        </is>
      </c>
      <c r="C3870" t="inlineStr">
        <is>
          <t>you get the guys who drive them.</t>
        </is>
      </c>
      <c r="D3870">
        <f>HYPERLINK("https://www.youtube.com/watch?v=EMXnJMCoFYI&amp;t=1509s", "Go to time")</f>
        <v/>
      </c>
    </row>
    <row r="3871">
      <c r="A3871">
        <f>HYPERLINK("https://www.youtube.com/watch?v=Ihl2CqxzW4k", "Video")</f>
        <v/>
      </c>
      <c r="B3871" t="inlineStr">
        <is>
          <t>4:14</t>
        </is>
      </c>
      <c r="C3871" t="inlineStr">
        <is>
          <t>drive that's you know when you as you</t>
        </is>
      </c>
      <c r="D3871">
        <f>HYPERLINK("https://www.youtube.com/watch?v=Ihl2CqxzW4k&amp;t=254s", "Go to time")</f>
        <v/>
      </c>
    </row>
    <row r="3872">
      <c r="A3872">
        <f>HYPERLINK("https://www.youtube.com/watch?v=j0J-favyUeQ", "Video")</f>
        <v/>
      </c>
      <c r="B3872" t="inlineStr">
        <is>
          <t>2:01</t>
        </is>
      </c>
      <c r="C3872" t="inlineStr">
        <is>
          <t>who studies data-driven Geotechnology.</t>
        </is>
      </c>
      <c r="D3872">
        <f>HYPERLINK("https://www.youtube.com/watch?v=j0J-favyUeQ&amp;t=121s", "Go to time")</f>
        <v/>
      </c>
    </row>
    <row r="3873">
      <c r="A3873">
        <f>HYPERLINK("https://www.youtube.com/watch?v=j0J-favyUeQ", "Video")</f>
        <v/>
      </c>
      <c r="B3873" t="inlineStr">
        <is>
          <t>7:44</t>
        </is>
      </c>
      <c r="C3873" t="inlineStr">
        <is>
          <t>and how long the walk
or the drive may take.</t>
        </is>
      </c>
      <c r="D3873">
        <f>HYPERLINK("https://www.youtube.com/watch?v=j0J-favyUeQ&amp;t=464s", "Go to time")</f>
        <v/>
      </c>
    </row>
    <row r="3874">
      <c r="A3874">
        <f>HYPERLINK("https://www.youtube.com/watch?v=j0J-favyUeQ", "Video")</f>
        <v/>
      </c>
      <c r="B3874" t="inlineStr">
        <is>
          <t>28:43</t>
        </is>
      </c>
      <c r="C3874" t="inlineStr">
        <is>
          <t>and pop it out through the driver.</t>
        </is>
      </c>
      <c r="D3874">
        <f>HYPERLINK("https://www.youtube.com/watch?v=j0J-favyUeQ&amp;t=1723s", "Go to time")</f>
        <v/>
      </c>
    </row>
    <row r="3875">
      <c r="A3875">
        <f>HYPERLINK("https://www.youtube.com/watch?v=NooINdi-kJI", "Video")</f>
        <v/>
      </c>
      <c r="B3875" t="inlineStr">
        <is>
          <t>0:06</t>
        </is>
      </c>
      <c r="C3875" t="inlineStr">
        <is>
          <t>is working to make you a better driver.</t>
        </is>
      </c>
      <c r="D3875">
        <f>HYPERLINK("https://www.youtube.com/watch?v=NooINdi-kJI&amp;t=6s", "Go to time")</f>
        <v/>
      </c>
    </row>
    <row r="3876">
      <c r="A3876">
        <f>HYPERLINK("https://www.youtube.com/watch?v=NooINdi-kJI", "Video")</f>
        <v/>
      </c>
      <c r="B3876" t="inlineStr">
        <is>
          <t>0:12</t>
        </is>
      </c>
      <c r="C3876" t="inlineStr">
        <is>
          <t>- [Narrator] This web
powers Driver Assist,</t>
        </is>
      </c>
      <c r="D3876">
        <f>HYPERLINK("https://www.youtube.com/watch?v=NooINdi-kJI&amp;t=12s", "Go to time")</f>
        <v/>
      </c>
    </row>
    <row r="3877">
      <c r="A3877">
        <f>HYPERLINK("https://www.youtube.com/watch?v=NooINdi-kJI", "Video")</f>
        <v/>
      </c>
      <c r="B3877" t="inlineStr">
        <is>
          <t>0:17</t>
        </is>
      </c>
      <c r="C3877" t="inlineStr">
        <is>
          <t>and sometimes drive on its own.</t>
        </is>
      </c>
      <c r="D3877">
        <f>HYPERLINK("https://www.youtube.com/watch?v=NooINdi-kJI&amp;t=17s", "Go to time")</f>
        <v/>
      </c>
    </row>
    <row r="3878">
      <c r="A3878">
        <f>HYPERLINK("https://www.youtube.com/watch?v=NooINdi-kJI", "Video")</f>
        <v/>
      </c>
      <c r="B3878" t="inlineStr">
        <is>
          <t>0:24</t>
        </is>
      </c>
      <c r="C3878" t="inlineStr">
        <is>
          <t>whether these automated backseat drivers</t>
        </is>
      </c>
      <c r="D3878">
        <f>HYPERLINK("https://www.youtube.com/watch?v=NooINdi-kJI&amp;t=24s", "Go to time")</f>
        <v/>
      </c>
    </row>
    <row r="3879">
      <c r="A3879">
        <f>HYPERLINK("https://www.youtube.com/watch?v=NooINdi-kJI", "Video")</f>
        <v/>
      </c>
      <c r="B3879" t="inlineStr">
        <is>
          <t>0:33</t>
        </is>
      </c>
      <c r="C3879" t="inlineStr">
        <is>
          <t>This is the Tech Behind Driver Assist.</t>
        </is>
      </c>
      <c r="D3879">
        <f>HYPERLINK("https://www.youtube.com/watch?v=NooINdi-kJI&amp;t=33s", "Go to time")</f>
        <v/>
      </c>
    </row>
    <row r="3880">
      <c r="A3880">
        <f>HYPERLINK("https://www.youtube.com/watch?v=NooINdi-kJI", "Video")</f>
        <v/>
      </c>
      <c r="B3880" t="inlineStr">
        <is>
          <t>1:02</t>
        </is>
      </c>
      <c r="C3880" t="inlineStr">
        <is>
          <t>that make up Driver Assist.</t>
        </is>
      </c>
      <c r="D3880">
        <f>HYPERLINK("https://www.youtube.com/watch?v=NooINdi-kJI&amp;t=62s", "Go to time")</f>
        <v/>
      </c>
    </row>
    <row r="3881">
      <c r="A3881">
        <f>HYPERLINK("https://www.youtube.com/watch?v=NooINdi-kJI", "Video")</f>
        <v/>
      </c>
      <c r="B3881" t="inlineStr">
        <is>
          <t>1:11</t>
        </is>
      </c>
      <c r="C3881" t="inlineStr">
        <is>
          <t>And so anything that's
actively helping the driver</t>
        </is>
      </c>
      <c r="D3881">
        <f>HYPERLINK("https://www.youtube.com/watch?v=NooINdi-kJI&amp;t=71s", "Go to time")</f>
        <v/>
      </c>
    </row>
    <row r="3882">
      <c r="A3882">
        <f>HYPERLINK("https://www.youtube.com/watch?v=NooINdi-kJI", "Video")</f>
        <v/>
      </c>
      <c r="B3882" t="inlineStr">
        <is>
          <t>1:14</t>
        </is>
      </c>
      <c r="C3882" t="inlineStr">
        <is>
          <t>is sort of a Driver Assist feature.</t>
        </is>
      </c>
      <c r="D3882">
        <f>HYPERLINK("https://www.youtube.com/watch?v=NooINdi-kJI&amp;t=74s", "Go to time")</f>
        <v/>
      </c>
    </row>
    <row r="3883">
      <c r="A3883">
        <f>HYPERLINK("https://www.youtube.com/watch?v=NooINdi-kJI", "Video")</f>
        <v/>
      </c>
      <c r="B3883" t="inlineStr">
        <is>
          <t>1:57</t>
        </is>
      </c>
      <c r="C3883" t="inlineStr">
        <is>
          <t>from the core tech that
makes Driver Assist possible.</t>
        </is>
      </c>
      <c r="D3883">
        <f>HYPERLINK("https://www.youtube.com/watch?v=NooINdi-kJI&amp;t=117s", "Go to time")</f>
        <v/>
      </c>
    </row>
    <row r="3884">
      <c r="A3884">
        <f>HYPERLINK("https://www.youtube.com/watch?v=NooINdi-kJI", "Video")</f>
        <v/>
      </c>
      <c r="B3884" t="inlineStr">
        <is>
          <t>3:24</t>
        </is>
      </c>
      <c r="C3884" t="inlineStr">
        <is>
          <t>use a sensor in the steering
wheel to make sure drivers</t>
        </is>
      </c>
      <c r="D3884">
        <f>HYPERLINK("https://www.youtube.com/watch?v=NooINdi-kJI&amp;t=204s", "Go to time")</f>
        <v/>
      </c>
    </row>
    <row r="3885">
      <c r="A3885">
        <f>HYPERLINK("https://www.youtube.com/watch?v=NooINdi-kJI", "Video")</f>
        <v/>
      </c>
      <c r="B3885" t="inlineStr">
        <is>
          <t>3:50</t>
        </is>
      </c>
      <c r="C3885" t="inlineStr">
        <is>
          <t>- This is called our
Driver Monitor Camera.</t>
        </is>
      </c>
      <c r="D3885">
        <f>HYPERLINK("https://www.youtube.com/watch?v=NooINdi-kJI&amp;t=230s", "Go to time")</f>
        <v/>
      </c>
    </row>
    <row r="3886">
      <c r="A3886">
        <f>HYPERLINK("https://www.youtube.com/watch?v=NooINdi-kJI", "Video")</f>
        <v/>
      </c>
      <c r="B3886" t="inlineStr">
        <is>
          <t>3:58</t>
        </is>
      </c>
      <c r="C3886" t="inlineStr">
        <is>
          <t>to make sure a driver</t>
        </is>
      </c>
      <c r="D3886">
        <f>HYPERLINK("https://www.youtube.com/watch?v=NooINdi-kJI&amp;t=238s", "Go to time")</f>
        <v/>
      </c>
    </row>
    <row r="3887">
      <c r="A3887">
        <f>HYPERLINK("https://www.youtube.com/watch?v=NooINdi-kJI", "Video")</f>
        <v/>
      </c>
      <c r="B3887" t="inlineStr">
        <is>
          <t>4:07</t>
        </is>
      </c>
      <c r="C3887" t="inlineStr">
        <is>
          <t>can be one of the hardest
pieces of Driver Assist tech</t>
        </is>
      </c>
      <c r="D3887">
        <f>HYPERLINK("https://www.youtube.com/watch?v=NooINdi-kJI&amp;t=247s", "Go to time")</f>
        <v/>
      </c>
    </row>
    <row r="3888">
      <c r="A3888">
        <f>HYPERLINK("https://www.youtube.com/watch?v=NooINdi-kJI", "Video")</f>
        <v/>
      </c>
      <c r="B3888" t="inlineStr">
        <is>
          <t>4:12</t>
        </is>
      </c>
      <c r="C3888" t="inlineStr">
        <is>
          <t>- Many of the vehicles will let you drive,</t>
        </is>
      </c>
      <c r="D3888">
        <f>HYPERLINK("https://www.youtube.com/watch?v=NooINdi-kJI&amp;t=252s", "Go to time")</f>
        <v/>
      </c>
    </row>
    <row r="3889">
      <c r="A3889">
        <f>HYPERLINK("https://www.youtube.com/watch?v=NooINdi-kJI", "Video")</f>
        <v/>
      </c>
      <c r="B3889" t="inlineStr">
        <is>
          <t>4:17</t>
        </is>
      </c>
      <c r="C3889" t="inlineStr">
        <is>
          <t>without knowing if the driver is engaged.</t>
        </is>
      </c>
      <c r="D3889">
        <f>HYPERLINK("https://www.youtube.com/watch?v=NooINdi-kJI&amp;t=257s", "Go to time")</f>
        <v/>
      </c>
    </row>
    <row r="3890">
      <c r="A3890">
        <f>HYPERLINK("https://www.youtube.com/watch?v=NooINdi-kJI", "Video")</f>
        <v/>
      </c>
      <c r="B3890" t="inlineStr">
        <is>
          <t>4:23</t>
        </is>
      </c>
      <c r="C3890" t="inlineStr">
        <is>
          <t>as they move to the next step
of driver assistance tech,</t>
        </is>
      </c>
      <c r="D3890">
        <f>HYPERLINK("https://www.youtube.com/watch?v=NooINdi-kJI&amp;t=263s", "Go to time")</f>
        <v/>
      </c>
    </row>
    <row r="3891">
      <c r="A3891">
        <f>HYPERLINK("https://www.youtube.com/watch?v=NooINdi-kJI", "Video")</f>
        <v/>
      </c>
      <c r="B3891" t="inlineStr">
        <is>
          <t>4:28</t>
        </is>
      </c>
      <c r="C3891" t="inlineStr">
        <is>
          <t>- [Driver Assist]
Advanced Drive activated.</t>
        </is>
      </c>
      <c r="D3891">
        <f>HYPERLINK("https://www.youtube.com/watch?v=NooINdi-kJI&amp;t=268s", "Go to time")</f>
        <v/>
      </c>
    </row>
    <row r="3892">
      <c r="A3892">
        <f>HYPERLINK("https://www.youtube.com/watch?v=NooINdi-kJI", "Video")</f>
        <v/>
      </c>
      <c r="B3892" t="inlineStr">
        <is>
          <t>5:32</t>
        </is>
      </c>
      <c r="C3892" t="inlineStr">
        <is>
          <t>are not monitoring the driver well,</t>
        </is>
      </c>
      <c r="D3892">
        <f>HYPERLINK("https://www.youtube.com/watch?v=NooINdi-kJI&amp;t=332s", "Go to time")</f>
        <v/>
      </c>
    </row>
    <row r="3893">
      <c r="A3893">
        <f>HYPERLINK("https://www.youtube.com/watch?v=NooINdi-kJI", "Video")</f>
        <v/>
      </c>
      <c r="B3893" t="inlineStr">
        <is>
          <t>5:56</t>
        </is>
      </c>
      <c r="C3893" t="inlineStr">
        <is>
          <t>- We're concerned that drivers will become</t>
        </is>
      </c>
      <c r="D3893">
        <f>HYPERLINK("https://www.youtube.com/watch?v=NooINdi-kJI&amp;t=356s", "Go to time")</f>
        <v/>
      </c>
    </row>
    <row r="3894">
      <c r="A3894">
        <f>HYPERLINK("https://www.youtube.com/watch?v=NooINdi-kJI", "Video")</f>
        <v/>
      </c>
      <c r="B3894" t="inlineStr">
        <is>
          <t>6:02</t>
        </is>
      </c>
      <c r="C3894" t="inlineStr">
        <is>
          <t>the driver may not be
prepared to take over</t>
        </is>
      </c>
      <c r="D3894">
        <f>HYPERLINK("https://www.youtube.com/watch?v=NooINdi-kJI&amp;t=362s", "Go to time")</f>
        <v/>
      </c>
    </row>
    <row r="3895">
      <c r="A3895">
        <f>HYPERLINK("https://www.youtube.com/watch?v=NooINdi-kJI", "Video")</f>
        <v/>
      </c>
      <c r="B3895" t="inlineStr">
        <is>
          <t>6:13</t>
        </is>
      </c>
      <c r="C3895" t="inlineStr">
        <is>
          <t>and while driverless
cars are hitting the road</t>
        </is>
      </c>
      <c r="D3895">
        <f>HYPERLINK("https://www.youtube.com/watch?v=NooINdi-kJI&amp;t=373s", "Go to time")</f>
        <v/>
      </c>
    </row>
    <row r="3896">
      <c r="A3896">
        <f>HYPERLINK("https://www.youtube.com/watch?v=NooINdi-kJI", "Video")</f>
        <v/>
      </c>
      <c r="B3896" t="inlineStr">
        <is>
          <t>6:19</t>
        </is>
      </c>
      <c r="C3896" t="inlineStr">
        <is>
          <t>from being able to
drive itself everywhere.</t>
        </is>
      </c>
      <c r="D3896">
        <f>HYPERLINK("https://www.youtube.com/watch?v=NooINdi-kJI&amp;t=379s", "Go to time")</f>
        <v/>
      </c>
    </row>
    <row r="3897">
      <c r="A3897">
        <f>HYPERLINK("https://www.youtube.com/watch?v=NooINdi-kJI", "Video")</f>
        <v/>
      </c>
      <c r="B3897" t="inlineStr">
        <is>
          <t>6:21</t>
        </is>
      </c>
      <c r="C3897" t="inlineStr">
        <is>
          <t>- We're making lots of
decisions instantly as we drive,</t>
        </is>
      </c>
      <c r="D3897">
        <f>HYPERLINK("https://www.youtube.com/watch?v=NooINdi-kJI&amp;t=381s", "Go to time")</f>
        <v/>
      </c>
    </row>
    <row r="3898">
      <c r="A3898">
        <f>HYPERLINK("https://www.youtube.com/watch?v=AkgC5UibkGM", "Video")</f>
        <v/>
      </c>
      <c r="B3898" t="inlineStr">
        <is>
          <t>0:43</t>
        </is>
      </c>
      <c r="C3898" t="inlineStr">
        <is>
          <t>is that it was driven by individual</t>
        </is>
      </c>
      <c r="D3898">
        <f>HYPERLINK("https://www.youtube.com/watch?v=AkgC5UibkGM&amp;t=43s", "Go to time")</f>
        <v/>
      </c>
    </row>
    <row r="3899">
      <c r="A3899">
        <f>HYPERLINK("https://www.youtube.com/watch?v=AkgC5UibkGM", "Video")</f>
        <v/>
      </c>
      <c r="B3899" t="inlineStr">
        <is>
          <t>1:18</t>
        </is>
      </c>
      <c r="C3899" t="inlineStr">
        <is>
          <t>media driven trading frenzy</t>
        </is>
      </c>
      <c r="D3899">
        <f>HYPERLINK("https://www.youtube.com/watch?v=AkgC5UibkGM&amp;t=78s", "Go to time")</f>
        <v/>
      </c>
    </row>
    <row r="3900">
      <c r="A3900">
        <f>HYPERLINK("https://www.youtube.com/watch?v=sfpS-OMcKh0", "Video")</f>
        <v/>
      </c>
      <c r="B3900" t="inlineStr">
        <is>
          <t>1:29</t>
        </is>
      </c>
      <c r="C3900" t="inlineStr">
        <is>
          <t>to drive growth but he's fired nearly</t>
        </is>
      </c>
      <c r="D3900">
        <f>HYPERLINK("https://www.youtube.com/watch?v=sfpS-OMcKh0&amp;t=89s", "Go to time")</f>
        <v/>
      </c>
    </row>
    <row r="3901">
      <c r="A3901">
        <f>HYPERLINK("https://www.youtube.com/watch?v=sfpS-OMcKh0", "Video")</f>
        <v/>
      </c>
      <c r="B3901" t="inlineStr">
        <is>
          <t>3:21</t>
        </is>
      </c>
      <c r="C3901" t="inlineStr">
        <is>
          <t>a lot of this is just driven by distrust</t>
        </is>
      </c>
      <c r="D3901">
        <f>HYPERLINK("https://www.youtube.com/watch?v=sfpS-OMcKh0&amp;t=201s", "Go to time")</f>
        <v/>
      </c>
    </row>
    <row r="3902">
      <c r="A3902">
        <f>HYPERLINK("https://www.youtube.com/watch?v=9qsrRgTgAwY", "Video")</f>
        <v/>
      </c>
      <c r="B3902" t="inlineStr">
        <is>
          <t>0:12</t>
        </is>
      </c>
      <c r="C3902" t="inlineStr">
        <is>
          <t>drivers of growth for the gun industry</t>
        </is>
      </c>
      <c r="D3902">
        <f>HYPERLINK("https://www.youtube.com/watch?v=9qsrRgTgAwY&amp;t=12s", "Go to time")</f>
        <v/>
      </c>
    </row>
    <row r="3903">
      <c r="A3903">
        <f>HYPERLINK("https://www.youtube.com/watch?v=9qsrRgTgAwY", "Video")</f>
        <v/>
      </c>
      <c r="B3903" t="inlineStr">
        <is>
          <t>3:52</t>
        </is>
      </c>
      <c r="C3903" t="inlineStr">
        <is>
          <t>when similar events have driven</t>
        </is>
      </c>
      <c r="D3903">
        <f>HYPERLINK("https://www.youtube.com/watch?v=9qsrRgTgAwY&amp;t=232s", "Go to time")</f>
        <v/>
      </c>
    </row>
    <row r="3904">
      <c r="A3904">
        <f>HYPERLINK("https://www.youtube.com/watch?v=MDnd-f361zU", "Video")</f>
        <v/>
      </c>
      <c r="B3904" t="inlineStr">
        <is>
          <t>6:05</t>
        </is>
      </c>
      <c r="C3904" t="inlineStr">
        <is>
          <t>just a few hours drive south of Paris</t>
        </is>
      </c>
      <c r="D3904">
        <f>HYPERLINK("https://www.youtube.com/watch?v=MDnd-f361zU&amp;t=365s", "Go to time")</f>
        <v/>
      </c>
    </row>
    <row r="3905">
      <c r="A3905">
        <f>HYPERLINK("https://www.youtube.com/watch?v=Nc7Hnpd-mxI", "Video")</f>
        <v/>
      </c>
      <c r="B3905" t="inlineStr">
        <is>
          <t>5:48</t>
        </is>
      </c>
      <c r="C3905" t="inlineStr">
        <is>
          <t>of any AI-driven drone.</t>
        </is>
      </c>
      <c r="D3905">
        <f>HYPERLINK("https://www.youtube.com/watch?v=Nc7Hnpd-mxI&amp;t=348s", "Go to time")</f>
        <v/>
      </c>
    </row>
    <row r="3906">
      <c r="A3906">
        <f>HYPERLINK("https://www.youtube.com/watch?v=E1wvzVjeOP0", "Video")</f>
        <v/>
      </c>
      <c r="B3906" t="inlineStr">
        <is>
          <t>0:25</t>
        </is>
      </c>
      <c r="C3906" t="inlineStr">
        <is>
          <t>drive folder there because I've shared</t>
        </is>
      </c>
      <c r="D3906">
        <f>HYPERLINK("https://www.youtube.com/watch?v=E1wvzVjeOP0&amp;t=25s", "Go to time")</f>
        <v/>
      </c>
    </row>
    <row r="3907">
      <c r="A3907">
        <f>HYPERLINK("https://www.youtube.com/watch?v=E1wvzVjeOP0", "Video")</f>
        <v/>
      </c>
      <c r="B3907" t="inlineStr">
        <is>
          <t>0:46</t>
        </is>
      </c>
      <c r="C3907" t="inlineStr">
        <is>
          <t>I'll save it to my own one drive and</t>
        </is>
      </c>
      <c r="D3907">
        <f>HYPERLINK("https://www.youtube.com/watch?v=E1wvzVjeOP0&amp;t=46s", "Go to time")</f>
        <v/>
      </c>
    </row>
    <row r="3908">
      <c r="A3908">
        <f>HYPERLINK("https://www.youtube.com/watch?v=b3C17Wq2V7U", "Video")</f>
        <v/>
      </c>
      <c r="B3908" t="inlineStr">
        <is>
          <t>1:00</t>
        </is>
      </c>
      <c r="C3908" t="inlineStr">
        <is>
          <t>a driveway into the building is also for</t>
        </is>
      </c>
      <c r="D3908">
        <f>HYPERLINK("https://www.youtube.com/watch?v=b3C17Wq2V7U&amp;t=60s", "Go to time")</f>
        <v/>
      </c>
    </row>
    <row r="3909">
      <c r="A3909">
        <f>HYPERLINK("https://www.youtube.com/watch?v=OywybZ1MKEs", "Video")</f>
        <v/>
      </c>
      <c r="B3909" t="inlineStr">
        <is>
          <t>2:00</t>
        </is>
      </c>
      <c r="C3909" t="inlineStr">
        <is>
          <t>- That could be driven by
there not being a lot of good,</t>
        </is>
      </c>
      <c r="D3909">
        <f>HYPERLINK("https://www.youtube.com/watch?v=OywybZ1MKEs&amp;t=120s", "Go to time")</f>
        <v/>
      </c>
    </row>
    <row r="3910">
      <c r="A3910">
        <f>HYPERLINK("https://www.youtube.com/watch?v=kenL6iK-iiI", "Video")</f>
        <v/>
      </c>
      <c r="B3910" t="inlineStr">
        <is>
          <t>2:58</t>
        </is>
      </c>
      <c r="C3910" t="inlineStr">
        <is>
          <t>driven the percentage of Americans in</t>
        </is>
      </c>
      <c r="D3910">
        <f>HYPERLINK("https://www.youtube.com/watch?v=kenL6iK-iiI&amp;t=178s", "Go to time")</f>
        <v/>
      </c>
    </row>
    <row r="3911">
      <c r="A3911">
        <f>HYPERLINK("https://www.youtube.com/watch?v=IP4_09xaGrI", "Video")</f>
        <v/>
      </c>
      <c r="B3911" t="inlineStr">
        <is>
          <t>1:24</t>
        </is>
      </c>
      <c r="C3911" t="inlineStr">
        <is>
          <t>many factors can drive up demand</t>
        </is>
      </c>
      <c r="D3911">
        <f>HYPERLINK("https://www.youtube.com/watch?v=IP4_09xaGrI&amp;t=84s", "Go to time")</f>
        <v/>
      </c>
    </row>
    <row r="3912">
      <c r="A3912">
        <f>HYPERLINK("https://www.youtube.com/watch?v=IP4_09xaGrI", "Video")</f>
        <v/>
      </c>
      <c r="B3912" t="inlineStr">
        <is>
          <t>1:42</t>
        </is>
      </c>
      <c r="C3912" t="inlineStr">
        <is>
          <t>supply pressures can also drive</t>
        </is>
      </c>
      <c r="D3912">
        <f>HYPERLINK("https://www.youtube.com/watch?v=IP4_09xaGrI&amp;t=102s", "Go to time")</f>
        <v/>
      </c>
    </row>
    <row r="3913">
      <c r="A3913">
        <f>HYPERLINK("https://www.youtube.com/watch?v=IP4_09xaGrI", "Video")</f>
        <v/>
      </c>
      <c r="B3913" t="inlineStr">
        <is>
          <t>2:37</t>
        </is>
      </c>
      <c r="C3913" t="inlineStr">
        <is>
          <t>consumer goods which can drive up demand</t>
        </is>
      </c>
      <c r="D3913">
        <f>HYPERLINK("https://www.youtube.com/watch?v=IP4_09xaGrI&amp;t=157s", "Go to time")</f>
        <v/>
      </c>
    </row>
    <row r="3914">
      <c r="A3914">
        <f>HYPERLINK("https://www.youtube.com/watch?v=gHTVkue17Ds", "Video")</f>
        <v/>
      </c>
      <c r="B3914" t="inlineStr">
        <is>
          <t>0:57</t>
        </is>
      </c>
      <c r="C3914" t="inlineStr">
        <is>
          <t>thing that helped drive up stocks was</t>
        </is>
      </c>
      <c r="D3914">
        <f>HYPERLINK("https://www.youtube.com/watch?v=gHTVkue17Ds&amp;t=57s", "Go to time")</f>
        <v/>
      </c>
    </row>
    <row r="3915">
      <c r="A3915">
        <f>HYPERLINK("https://www.youtube.com/watch?v=5qTk6GAGre4", "Video")</f>
        <v/>
      </c>
      <c r="B3915" t="inlineStr">
        <is>
          <t>0:37</t>
        </is>
      </c>
      <c r="C3915" t="inlineStr">
        <is>
          <t>drive over an hour if I were not out</t>
        </is>
      </c>
      <c r="D3915">
        <f>HYPERLINK("https://www.youtube.com/watch?v=5qTk6GAGre4&amp;t=37s", "Go to time")</f>
        <v/>
      </c>
    </row>
    <row r="3916">
      <c r="A3916">
        <f>HYPERLINK("https://www.youtube.com/watch?v=5qTk6GAGre4", "Video")</f>
        <v/>
      </c>
      <c r="B3916" t="inlineStr">
        <is>
          <t>2:24</t>
        </is>
      </c>
      <c r="C3916" t="inlineStr">
        <is>
          <t>some of them drive 45 minutes just to</t>
        </is>
      </c>
      <c r="D3916">
        <f>HYPERLINK("https://www.youtube.com/watch?v=5qTk6GAGre4&amp;t=144s", "Go to time")</f>
        <v/>
      </c>
    </row>
    <row r="3917">
      <c r="A3917">
        <f>HYPERLINK("https://www.youtube.com/watch?v=cvPpkD-XA-Y", "Video")</f>
        <v/>
      </c>
      <c r="B3917" t="inlineStr">
        <is>
          <t>11:23</t>
        </is>
      </c>
      <c r="C3917" t="inlineStr">
        <is>
          <t>is what drives the long-term
success of our business.</t>
        </is>
      </c>
      <c r="D3917">
        <f>HYPERLINK("https://www.youtube.com/watch?v=cvPpkD-XA-Y&amp;t=683s", "Go to time")</f>
        <v/>
      </c>
    </row>
    <row r="3918">
      <c r="A3918">
        <f>HYPERLINK("https://www.youtube.com/watch?v=bZuQ6v-05GM", "Video")</f>
        <v/>
      </c>
      <c r="B3918" t="inlineStr">
        <is>
          <t>0:50</t>
        </is>
      </c>
      <c r="C3918" t="inlineStr">
        <is>
          <t>speed and break without driver</t>
        </is>
      </c>
      <c r="D3918">
        <f>HYPERLINK("https://www.youtube.com/watch?v=bZuQ6v-05GM&amp;t=50s", "Go to time")</f>
        <v/>
      </c>
    </row>
    <row r="3919">
      <c r="A3919">
        <f>HYPERLINK("https://www.youtube.com/watch?v=bZuQ6v-05GM", "Video")</f>
        <v/>
      </c>
      <c r="B3919" t="inlineStr">
        <is>
          <t>0:54</t>
        </is>
      </c>
      <c r="C3919" t="inlineStr">
        <is>
          <t>intervention the driver of the truck</t>
        </is>
      </c>
      <c r="D3919">
        <f>HYPERLINK("https://www.youtube.com/watch?v=bZuQ6v-05GM&amp;t=54s", "Go to time")</f>
        <v/>
      </c>
    </row>
    <row r="3920">
      <c r="A3920">
        <f>HYPERLINK("https://www.youtube.com/watch?v=bZuQ6v-05GM", "Video")</f>
        <v/>
      </c>
      <c r="B3920" t="inlineStr">
        <is>
          <t>1:18</t>
        </is>
      </c>
      <c r="C3920" t="inlineStr">
        <is>
          <t>driverless car guidelines later this</t>
        </is>
      </c>
      <c r="D3920">
        <f>HYPERLINK("https://www.youtube.com/watch?v=bZuQ6v-05GM&amp;t=78s", "Go to time")</f>
        <v/>
      </c>
    </row>
    <row r="3921">
      <c r="A3921">
        <f>HYPERLINK("https://www.youtube.com/watch?v=9Di1r8qd11U", "Video")</f>
        <v/>
      </c>
      <c r="B3921" t="inlineStr">
        <is>
          <t>0:38</t>
        </is>
      </c>
      <c r="C3921" t="inlineStr">
        <is>
          <t>Drive-In or Hardies while those in</t>
        </is>
      </c>
      <c r="D3921">
        <f>HYPERLINK("https://www.youtube.com/watch?v=9Di1r8qd11U&amp;t=38s", "Go to time")</f>
        <v/>
      </c>
    </row>
    <row r="3922">
      <c r="A3922">
        <f>HYPERLINK("https://www.youtube.com/watch?v=hYijBOru4Vs", "Video")</f>
        <v/>
      </c>
      <c r="B3922" t="inlineStr">
        <is>
          <t>3:11</t>
        </is>
      </c>
      <c r="C3922" t="inlineStr">
        <is>
          <t>orchard more than an hour's drive away</t>
        </is>
      </c>
      <c r="D3922">
        <f>HYPERLINK("https://www.youtube.com/watch?v=hYijBOru4Vs&amp;t=191s", "Go to time")</f>
        <v/>
      </c>
    </row>
    <row r="3923">
      <c r="A3923">
        <f>HYPERLINK("https://www.youtube.com/watch?v=hYijBOru4Vs", "Video")</f>
        <v/>
      </c>
      <c r="B3923" t="inlineStr">
        <is>
          <t>6:27</t>
        </is>
      </c>
      <c r="C3923" t="inlineStr">
        <is>
          <t>drive to the cleaning and packaging</t>
        </is>
      </c>
      <c r="D3923">
        <f>HYPERLINK("https://www.youtube.com/watch?v=hYijBOru4Vs&amp;t=387s", "Go to time")</f>
        <v/>
      </c>
    </row>
    <row r="3924">
      <c r="A3924">
        <f>HYPERLINK("https://www.youtube.com/watch?v=N1yxFDvqALI", "Video")</f>
        <v/>
      </c>
      <c r="B3924" t="inlineStr">
        <is>
          <t>0:30</t>
        </is>
      </c>
      <c r="C3924" t="inlineStr">
        <is>
          <t>I recently got to meet and drive</t>
        </is>
      </c>
      <c r="D3924">
        <f>HYPERLINK("https://www.youtube.com/watch?v=N1yxFDvqALI&amp;t=30s", "Go to time")</f>
        <v/>
      </c>
    </row>
    <row r="3925">
      <c r="A3925">
        <f>HYPERLINK("https://www.youtube.com/watch?v=N1yxFDvqALI", "Video")</f>
        <v/>
      </c>
      <c r="B3925" t="inlineStr">
        <is>
          <t>0:54</t>
        </is>
      </c>
      <c r="C3925" t="inlineStr">
        <is>
          <t>of them so it's a front-wheel drive rear</t>
        </is>
      </c>
      <c r="D3925">
        <f>HYPERLINK("https://www.youtube.com/watch?v=N1yxFDvqALI&amp;t=54s", "Go to time")</f>
        <v/>
      </c>
    </row>
    <row r="3926">
      <c r="A3926">
        <f>HYPERLINK("https://www.youtube.com/watch?v=N1yxFDvqALI", "Video")</f>
        <v/>
      </c>
      <c r="B3926" t="inlineStr">
        <is>
          <t>1:52</t>
        </is>
      </c>
      <c r="C3926" t="inlineStr">
        <is>
          <t>streamlining but how does it drive the</t>
        </is>
      </c>
      <c r="D3926">
        <f>HYPERLINK("https://www.youtube.com/watch?v=N1yxFDvqALI&amp;t=112s", "Go to time")</f>
        <v/>
      </c>
    </row>
    <row r="3927">
      <c r="A3927">
        <f>HYPERLINK("https://www.youtube.com/watch?v=DtWk5AxTioY", "Video")</f>
        <v/>
      </c>
      <c r="B3927" t="inlineStr">
        <is>
          <t>3:49</t>
        </is>
      </c>
      <c r="C3927" t="inlineStr">
        <is>
          <t>You have a topography driven,</t>
        </is>
      </c>
      <c r="D3927">
        <f>HYPERLINK("https://www.youtube.com/watch?v=DtWk5AxTioY&amp;t=229s", "Go to time")</f>
        <v/>
      </c>
    </row>
    <row r="3928">
      <c r="A3928">
        <f>HYPERLINK("https://www.youtube.com/watch?v=DtWk5AxTioY", "Video")</f>
        <v/>
      </c>
      <c r="B3928" t="inlineStr">
        <is>
          <t>4:01</t>
        </is>
      </c>
      <c r="C3928" t="inlineStr">
        <is>
          <t>A wind-driven fire is
completely different.</t>
        </is>
      </c>
      <c r="D3928">
        <f>HYPERLINK("https://www.youtube.com/watch?v=DtWk5AxTioY&amp;t=241s", "Go to time")</f>
        <v/>
      </c>
    </row>
    <row r="3929">
      <c r="A3929">
        <f>HYPERLINK("https://www.youtube.com/watch?v=RlRPaja_wjY", "Video")</f>
        <v/>
      </c>
      <c r="B3929" t="inlineStr">
        <is>
          <t>0:11</t>
        </is>
      </c>
      <c r="C3929" t="inlineStr">
        <is>
          <t>called the b-class electric Drive let's</t>
        </is>
      </c>
      <c r="D3929">
        <f>HYPERLINK("https://www.youtube.com/watch?v=RlRPaja_wjY&amp;t=11s", "Go to time")</f>
        <v/>
      </c>
    </row>
    <row r="3930">
      <c r="A3930">
        <f>HYPERLINK("https://www.youtube.com/watch?v=RlRPaja_wjY", "Video")</f>
        <v/>
      </c>
      <c r="B3930" t="inlineStr">
        <is>
          <t>0:24</t>
        </is>
      </c>
      <c r="C3930" t="inlineStr">
        <is>
          <t>it's fully electric popped it in drive I</t>
        </is>
      </c>
      <c r="D3930">
        <f>HYPERLINK("https://www.youtube.com/watch?v=RlRPaja_wjY&amp;t=24s", "Go to time")</f>
        <v/>
      </c>
    </row>
    <row r="3931">
      <c r="A3931">
        <f>HYPERLINK("https://www.youtube.com/watch?v=RlRPaja_wjY", "Video")</f>
        <v/>
      </c>
      <c r="B3931" t="inlineStr">
        <is>
          <t>0:59</t>
        </is>
      </c>
      <c r="C3931" t="inlineStr">
        <is>
          <t>front of the driver all under the hood</t>
        </is>
      </c>
      <c r="D3931">
        <f>HYPERLINK("https://www.youtube.com/watch?v=RlRPaja_wjY&amp;t=59s", "Go to time")</f>
        <v/>
      </c>
    </row>
    <row r="3932">
      <c r="A3932">
        <f>HYPERLINK("https://www.youtube.com/watch?v=FQLIMvOm-qc", "Video")</f>
        <v/>
      </c>
      <c r="B3932" t="inlineStr">
        <is>
          <t>0:16</t>
        </is>
      </c>
      <c r="C3932" t="inlineStr">
        <is>
          <t>Drive and add a feature to each pace of</t>
        </is>
      </c>
      <c r="D3932">
        <f>HYPERLINK("https://www.youtube.com/watch?v=FQLIMvOm-qc&amp;t=16s", "Go to time")</f>
        <v/>
      </c>
    </row>
    <row r="3933">
      <c r="A3933">
        <f>HYPERLINK("https://www.youtube.com/watch?v=jyTYuWdVMd4", "Video")</f>
        <v/>
      </c>
      <c r="B3933" t="inlineStr">
        <is>
          <t>3:05</t>
        </is>
      </c>
      <c r="C3933" t="inlineStr">
        <is>
          <t>urbanization this is what drives and on</t>
        </is>
      </c>
      <c r="D3933">
        <f>HYPERLINK("https://www.youtube.com/watch?v=jyTYuWdVMd4&amp;t=185s", "Go to time")</f>
        <v/>
      </c>
    </row>
    <row r="3934">
      <c r="A3934">
        <f>HYPERLINK("https://www.youtube.com/watch?v=5JINucwPHmU", "Video")</f>
        <v/>
      </c>
      <c r="B3934" t="inlineStr">
        <is>
          <t>6:32</t>
        </is>
      </c>
      <c r="C3934" t="inlineStr">
        <is>
          <t>to drive Hooks and there's only one</t>
        </is>
      </c>
      <c r="D3934">
        <f>HYPERLINK("https://www.youtube.com/watch?v=5JINucwPHmU&amp;t=392s", "Go to time")</f>
        <v/>
      </c>
    </row>
    <row r="3935">
      <c r="A3935">
        <f>HYPERLINK("https://www.youtube.com/watch?v=5JINucwPHmU", "Video")</f>
        <v/>
      </c>
      <c r="B3935" t="inlineStr">
        <is>
          <t>11:05</t>
        </is>
      </c>
      <c r="C3935" t="inlineStr">
        <is>
          <t>drive a loom all right when we have</t>
        </is>
      </c>
      <c r="D3935">
        <f>HYPERLINK("https://www.youtube.com/watch?v=5JINucwPHmU&amp;t=665s", "Go to time")</f>
        <v/>
      </c>
    </row>
    <row r="3936">
      <c r="A3936">
        <f>HYPERLINK("https://www.youtube.com/watch?v=5JINucwPHmU", "Video")</f>
        <v/>
      </c>
      <c r="B3936" t="inlineStr">
        <is>
          <t>11:27</t>
        </is>
      </c>
      <c r="C3936" t="inlineStr">
        <is>
          <t>of to punch to drive holes he uses gears</t>
        </is>
      </c>
      <c r="D3936">
        <f>HYPERLINK("https://www.youtube.com/watch?v=5JINucwPHmU&amp;t=687s", "Go to time")</f>
        <v/>
      </c>
    </row>
    <row r="3937">
      <c r="A3937">
        <f>HYPERLINK("https://www.youtube.com/watch?v=5JINucwPHmU", "Video")</f>
        <v/>
      </c>
      <c r="B3937" t="inlineStr">
        <is>
          <t>11:30</t>
        </is>
      </c>
      <c r="C3937" t="inlineStr">
        <is>
          <t>to do the math driven by what what was</t>
        </is>
      </c>
      <c r="D3937">
        <f>HYPERLINK("https://www.youtube.com/watch?v=5JINucwPHmU&amp;t=690s", "Go to time")</f>
        <v/>
      </c>
    </row>
    <row r="3938">
      <c r="A3938">
        <f>HYPERLINK("https://www.youtube.com/watch?v=5JINucwPHmU", "Video")</f>
        <v/>
      </c>
      <c r="B3938" t="inlineStr">
        <is>
          <t>11:32</t>
        </is>
      </c>
      <c r="C3938" t="inlineStr">
        <is>
          <t>the driven by a hand crank he just</t>
        </is>
      </c>
      <c r="D3938">
        <f>HYPERLINK("https://www.youtube.com/watch?v=5JINucwPHmU&amp;t=692s", "Go to time")</f>
        <v/>
      </c>
    </row>
    <row r="3939">
      <c r="A3939">
        <f>HYPERLINK("https://www.youtube.com/watch?v=Rmxczgmvnv8", "Video")</f>
        <v/>
      </c>
      <c r="B3939" t="inlineStr">
        <is>
          <t>1:02</t>
        </is>
      </c>
      <c r="C3939" t="inlineStr">
        <is>
          <t>when cars drive</t>
        </is>
      </c>
      <c r="D3939">
        <f>HYPERLINK("https://www.youtube.com/watch?v=Rmxczgmvnv8&amp;t=62s", "Go to time")</f>
        <v/>
      </c>
    </row>
    <row r="3940">
      <c r="A3940">
        <f>HYPERLINK("https://www.youtube.com/watch?v=-QLagCf9W1s", "Video")</f>
        <v/>
      </c>
      <c r="B3940" t="inlineStr">
        <is>
          <t>0:37</t>
        </is>
      </c>
      <c r="C3940" t="inlineStr">
        <is>
          <t>plug-in hybrid you can drive up to about</t>
        </is>
      </c>
      <c r="D3940">
        <f>HYPERLINK("https://www.youtube.com/watch?v=-QLagCf9W1s&amp;t=37s", "Go to time")</f>
        <v/>
      </c>
    </row>
    <row r="3941">
      <c r="A3941">
        <f>HYPERLINK("https://www.youtube.com/watch?v=xlGx8GAtTh8", "Video")</f>
        <v/>
      </c>
      <c r="B3941" t="inlineStr">
        <is>
          <t>4:59</t>
        </is>
      </c>
      <c r="C3941" t="inlineStr">
        <is>
          <t>on supply chain is driven
in part by geopolitics.</t>
        </is>
      </c>
      <c r="D3941">
        <f>HYPERLINK("https://www.youtube.com/watch?v=xlGx8GAtTh8&amp;t=299s", "Go to time")</f>
        <v/>
      </c>
    </row>
    <row r="3942">
      <c r="A3942">
        <f>HYPERLINK("https://www.youtube.com/watch?v=xbiqwfNxyo8", "Video")</f>
        <v/>
      </c>
      <c r="B3942" t="inlineStr">
        <is>
          <t>0:23</t>
        </is>
      </c>
      <c r="C3942" t="inlineStr">
        <is>
          <t>to cycle instead of drive together the</t>
        </is>
      </c>
      <c r="D3942">
        <f>HYPERLINK("https://www.youtube.com/watch?v=xbiqwfNxyo8&amp;t=23s", "Go to time")</f>
        <v/>
      </c>
    </row>
    <row r="3943">
      <c r="A3943">
        <f>HYPERLINK("https://www.youtube.com/watch?v=AkMsMDk_brU", "Video")</f>
        <v/>
      </c>
      <c r="B3943" t="inlineStr">
        <is>
          <t>1:29</t>
        </is>
      </c>
      <c r="C3943" t="inlineStr">
        <is>
          <t>as a car and the fed as the driver.</t>
        </is>
      </c>
      <c r="D3943">
        <f>HYPERLINK("https://www.youtube.com/watch?v=AkMsMDk_brU&amp;t=89s", "Go to time")</f>
        <v/>
      </c>
    </row>
    <row r="3944">
      <c r="A3944">
        <f>HYPERLINK("https://www.youtube.com/watch?v=AkMsMDk_brU", "Video")</f>
        <v/>
      </c>
      <c r="B3944" t="inlineStr">
        <is>
          <t>3:38</t>
        </is>
      </c>
      <c r="C3944" t="inlineStr">
        <is>
          <t>The goal of raising these
rates is to drive down demand.</t>
        </is>
      </c>
      <c r="D3944">
        <f>HYPERLINK("https://www.youtube.com/watch?v=AkMsMDk_brU&amp;t=218s", "Go to time")</f>
        <v/>
      </c>
    </row>
    <row r="3945">
      <c r="A3945">
        <f>HYPERLINK("https://www.youtube.com/watch?v=WwX6tkiCNOo", "Video")</f>
        <v/>
      </c>
      <c r="B3945" t="inlineStr">
        <is>
          <t>0:34</t>
        </is>
      </c>
      <c r="C3945" t="inlineStr">
        <is>
          <t>China's green vehicle boom isn't driven</t>
        </is>
      </c>
      <c r="D3945">
        <f>HYPERLINK("https://www.youtube.com/watch?v=WwX6tkiCNOo&amp;t=34s", "Go to time")</f>
        <v/>
      </c>
    </row>
    <row r="3946">
      <c r="A3946">
        <f>HYPERLINK("https://www.youtube.com/watch?v=WwX6tkiCNOo", "Video")</f>
        <v/>
      </c>
      <c r="B3946" t="inlineStr">
        <is>
          <t>0:52</t>
        </is>
      </c>
      <c r="C3946" t="inlineStr">
        <is>
          <t>wasn't able to drive his gas-powered</t>
        </is>
      </c>
      <c r="D3946">
        <f>HYPERLINK("https://www.youtube.com/watch?v=WwX6tkiCNOo&amp;t=52s", "Go to time")</f>
        <v/>
      </c>
    </row>
    <row r="3947">
      <c r="A3947">
        <f>HYPERLINK("https://www.youtube.com/watch?v=WwX6tkiCNOo", "Video")</f>
        <v/>
      </c>
      <c r="B3947" t="inlineStr">
        <is>
          <t>3:31</t>
        </is>
      </c>
      <c r="C3947" t="inlineStr">
        <is>
          <t>Tong will drive his BYD around Shenzhen</t>
        </is>
      </c>
      <c r="D3947">
        <f>HYPERLINK("https://www.youtube.com/watch?v=WwX6tkiCNOo&amp;t=211s", "Go to time")</f>
        <v/>
      </c>
    </row>
    <row r="3948">
      <c r="A3948">
        <f>HYPERLINK("https://www.youtube.com/watch?v=DglbqPr723A", "Video")</f>
        <v/>
      </c>
      <c r="B3948" t="inlineStr">
        <is>
          <t>4:04</t>
        </is>
      </c>
      <c r="C3948" t="inlineStr">
        <is>
          <t>with drive-throughs and families</t>
        </is>
      </c>
      <c r="D3948">
        <f>HYPERLINK("https://www.youtube.com/watch?v=DglbqPr723A&amp;t=244s", "Go to time")</f>
        <v/>
      </c>
    </row>
    <row r="3949">
      <c r="A3949">
        <f>HYPERLINK("https://www.youtube.com/watch?v=bjL-w46RXBA", "Video")</f>
        <v/>
      </c>
      <c r="B3949" t="inlineStr">
        <is>
          <t>0:00</t>
        </is>
      </c>
      <c r="C3949" t="inlineStr">
        <is>
          <t>with more than 200,000 drivers</t>
        </is>
      </c>
      <c r="D3949">
        <f>HYPERLINK("https://www.youtube.com/watch?v=bjL-w46RXBA&amp;t=0s", "Go to time")</f>
        <v/>
      </c>
    </row>
    <row r="3950">
      <c r="A3950">
        <f>HYPERLINK("https://www.youtube.com/watch?v=bjL-w46RXBA", "Video")</f>
        <v/>
      </c>
      <c r="B3950" t="inlineStr">
        <is>
          <t>0:22</t>
        </is>
      </c>
      <c r="C3950" t="inlineStr">
        <is>
          <t>drivers and Couriers have started</t>
        </is>
      </c>
      <c r="D3950">
        <f>HYPERLINK("https://www.youtube.com/watch?v=bjL-w46RXBA&amp;t=22s", "Go to time")</f>
        <v/>
      </c>
    </row>
    <row r="3951">
      <c r="A3951">
        <f>HYPERLINK("https://www.youtube.com/watch?v=bjL-w46RXBA", "Video")</f>
        <v/>
      </c>
      <c r="B3951" t="inlineStr">
        <is>
          <t>1:24</t>
        </is>
      </c>
      <c r="C3951" t="inlineStr">
        <is>
          <t>cost Advantage thousands of its drivers</t>
        </is>
      </c>
      <c r="D3951">
        <f>HYPERLINK("https://www.youtube.com/watch?v=bjL-w46RXBA&amp;t=84s", "Go to time")</f>
        <v/>
      </c>
    </row>
    <row r="3952">
      <c r="A3952">
        <f>HYPERLINK("https://www.youtube.com/watch?v=pVMbbEM56kE", "Video")</f>
        <v/>
      </c>
      <c r="B3952" t="inlineStr">
        <is>
          <t>2:58</t>
        </is>
      </c>
      <c r="C3952" t="inlineStr">
        <is>
          <t>driven by replacement not new home</t>
        </is>
      </c>
      <c r="D3952">
        <f>HYPERLINK("https://www.youtube.com/watch?v=pVMbbEM56kE&amp;t=178s", "Go to time")</f>
        <v/>
      </c>
    </row>
    <row r="3953">
      <c r="A3953">
        <f>HYPERLINK("https://www.youtube.com/watch?v=rY2X9MlKp9g", "Video")</f>
        <v/>
      </c>
      <c r="B3953" t="inlineStr">
        <is>
          <t>3:51</t>
        </is>
      </c>
      <c r="C3953" t="inlineStr">
        <is>
          <t>people to have a don have a food drive</t>
        </is>
      </c>
      <c r="D3953">
        <f>HYPERLINK("https://www.youtube.com/watch?v=rY2X9MlKp9g&amp;t=231s", "Go to time")</f>
        <v/>
      </c>
    </row>
    <row r="3954">
      <c r="A3954">
        <f>HYPERLINK("https://www.youtube.com/watch?v=0H399bFyyqk", "Video")</f>
        <v/>
      </c>
      <c r="B3954" t="inlineStr">
        <is>
          <t>1:07</t>
        </is>
      </c>
      <c r="C3954" t="inlineStr">
        <is>
          <t>growth driver I mean International is</t>
        </is>
      </c>
      <c r="D3954">
        <f>HYPERLINK("https://www.youtube.com/watch?v=0H399bFyyqk&amp;t=67s", "Go to time")</f>
        <v/>
      </c>
    </row>
    <row r="3955">
      <c r="A3955">
        <f>HYPERLINK("https://www.youtube.com/watch?v=HKXZEw2ZOck", "Video")</f>
        <v/>
      </c>
      <c r="B3955" t="inlineStr">
        <is>
          <t>0:27</t>
        </is>
      </c>
      <c r="C3955" t="inlineStr">
        <is>
          <t>States driver uh uh</t>
        </is>
      </c>
      <c r="D3955">
        <f>HYPERLINK("https://www.youtube.com/watch?v=HKXZEw2ZOck&amp;t=27s", "Go to time")</f>
        <v/>
      </c>
    </row>
    <row r="3956">
      <c r="A3956">
        <f>HYPERLINK("https://www.youtube.com/watch?v=U1wNUaFOkJc", "Video")</f>
        <v/>
      </c>
      <c r="B3956" t="inlineStr">
        <is>
          <t>3:54</t>
        </is>
      </c>
      <c r="C3956" t="inlineStr">
        <is>
          <t>renewable energy deployment
was driven by state mandates.</t>
        </is>
      </c>
      <c r="D3956">
        <f>HYPERLINK("https://www.youtube.com/watch?v=U1wNUaFOkJc&amp;t=234s", "Go to time")</f>
        <v/>
      </c>
    </row>
    <row r="3957">
      <c r="A3957">
        <f>HYPERLINK("https://www.youtube.com/watch?v=a-CbKbLPRI0", "Video")</f>
        <v/>
      </c>
      <c r="B3957" t="inlineStr">
        <is>
          <t>2:08</t>
        </is>
      </c>
      <c r="C3957" t="inlineStr">
        <is>
          <t>one day getting an alert
from your driverless cab</t>
        </is>
      </c>
      <c r="D3957">
        <f>HYPERLINK("https://www.youtube.com/watch?v=a-CbKbLPRI0&amp;t=128s", "Go to time")</f>
        <v/>
      </c>
    </row>
    <row r="3958">
      <c r="A3958">
        <f>HYPERLINK("https://www.youtube.com/watch?v=a-CbKbLPRI0", "Video")</f>
        <v/>
      </c>
      <c r="B3958" t="inlineStr">
        <is>
          <t>2:13</t>
        </is>
      </c>
      <c r="C3958" t="inlineStr">
        <is>
          <t>For drivers, body analytics can be used</t>
        </is>
      </c>
      <c r="D3958">
        <f>HYPERLINK("https://www.youtube.com/watch?v=a-CbKbLPRI0&amp;t=133s", "Go to time")</f>
        <v/>
      </c>
    </row>
    <row r="3959">
      <c r="A3959">
        <f>HYPERLINK("https://www.youtube.com/watch?v=a-CbKbLPRI0", "Video")</f>
        <v/>
      </c>
      <c r="B3959" t="inlineStr">
        <is>
          <t>3:02</t>
        </is>
      </c>
      <c r="C3959" t="inlineStr">
        <is>
          <t>and for drivers to share it
with their insurance companies.</t>
        </is>
      </c>
      <c r="D3959">
        <f>HYPERLINK("https://www.youtube.com/watch?v=a-CbKbLPRI0&amp;t=182s", "Go to time")</f>
        <v/>
      </c>
    </row>
    <row r="3960">
      <c r="A3960">
        <f>HYPERLINK("https://www.youtube.com/watch?v=4qbtz_ESUmo", "Video")</f>
        <v/>
      </c>
      <c r="B3960" t="inlineStr">
        <is>
          <t>0:51</t>
        </is>
      </c>
      <c r="C3960" t="inlineStr">
        <is>
          <t>its Die Hard pickup drivers to go</t>
        </is>
      </c>
      <c r="D3960">
        <f>HYPERLINK("https://www.youtube.com/watch?v=4qbtz_ESUmo&amp;t=51s", "Go to time")</f>
        <v/>
      </c>
    </row>
    <row r="3961">
      <c r="A3961">
        <f>HYPERLINK("https://www.youtube.com/watch?v=4qbtz_ESUmo", "Video")</f>
        <v/>
      </c>
      <c r="B3961" t="inlineStr">
        <is>
          <t>0:57</t>
        </is>
      </c>
      <c r="C3961" t="inlineStr">
        <is>
          <t>automakers I took a test drive my myself</t>
        </is>
      </c>
      <c r="D3961">
        <f>HYPERLINK("https://www.youtube.com/watch?v=4qbtz_ESUmo&amp;t=57s", "Go to time")</f>
        <v/>
      </c>
    </row>
    <row r="3962">
      <c r="A3962">
        <f>HYPERLINK("https://www.youtube.com/watch?v=4qbtz_ESUmo", "Video")</f>
        <v/>
      </c>
      <c r="B3962" t="inlineStr">
        <is>
          <t>1:32</t>
        </is>
      </c>
      <c r="C3962" t="inlineStr">
        <is>
          <t>today American drivers continue to favor</t>
        </is>
      </c>
      <c r="D3962">
        <f>HYPERLINK("https://www.youtube.com/watch?v=4qbtz_ESUmo&amp;t=92s", "Go to time")</f>
        <v/>
      </c>
    </row>
    <row r="3963">
      <c r="A3963">
        <f>HYPERLINK("https://www.youtube.com/watch?v=xgoHUFXuK7s", "Video")</f>
        <v/>
      </c>
      <c r="B3963" t="inlineStr">
        <is>
          <t>0:50</t>
        </is>
      </c>
      <c r="C3963" t="inlineStr">
        <is>
          <t>numbers are driven a lot by folks who</t>
        </is>
      </c>
      <c r="D3963">
        <f>HYPERLINK("https://www.youtube.com/watch?v=xgoHUFXuK7s&amp;t=50s", "Go to time")</f>
        <v/>
      </c>
    </row>
    <row r="3964">
      <c r="A3964">
        <f>HYPERLINK("https://www.youtube.com/watch?v=qxR_sTtRkWQ", "Video")</f>
        <v/>
      </c>
      <c r="B3964" t="inlineStr">
        <is>
          <t>1:15</t>
        </is>
      </c>
      <c r="C3964" t="inlineStr">
        <is>
          <t>stock car and stock car drivers to be on</t>
        </is>
      </c>
      <c r="D3964">
        <f>HYPERLINK("https://www.youtube.com/watch?v=qxR_sTtRkWQ&amp;t=75s", "Go to time")</f>
        <v/>
      </c>
    </row>
    <row r="3965">
      <c r="A3965">
        <f>HYPERLINK("https://www.youtube.com/watch?v=LddXjew1V2Q", "Video")</f>
        <v/>
      </c>
      <c r="B3965" t="inlineStr">
        <is>
          <t>1:37</t>
        </is>
      </c>
      <c r="C3965" t="inlineStr">
        <is>
          <t>Singapore's drive for military supremacy</t>
        </is>
      </c>
      <c r="D3965">
        <f>HYPERLINK("https://www.youtube.com/watch?v=LddXjew1V2Q&amp;t=97s", "Go to time")</f>
        <v/>
      </c>
    </row>
    <row r="3966">
      <c r="A3966">
        <f>HYPERLINK("https://www.youtube.com/watch?v=dmqIgCIS6xg", "Video")</f>
        <v/>
      </c>
      <c r="B3966" t="inlineStr">
        <is>
          <t>1:38</t>
        </is>
      </c>
      <c r="C3966" t="inlineStr">
        <is>
          <t>fairly rudimentary propeller driven</t>
        </is>
      </c>
      <c r="D3966">
        <f>HYPERLINK("https://www.youtube.com/watch?v=dmqIgCIS6xg&amp;t=98s", "Go to time")</f>
        <v/>
      </c>
    </row>
    <row r="3967">
      <c r="A3967">
        <f>HYPERLINK("https://www.youtube.com/watch?v=qETYh1cSiWY", "Video")</f>
        <v/>
      </c>
      <c r="B3967" t="inlineStr">
        <is>
          <t>6:24</t>
        </is>
      </c>
      <c r="C3967" t="inlineStr">
        <is>
          <t>like that's what drives me to do what I</t>
        </is>
      </c>
      <c r="D3967">
        <f>HYPERLINK("https://www.youtube.com/watch?v=qETYh1cSiWY&amp;t=384s", "Go to time")</f>
        <v/>
      </c>
    </row>
    <row r="3968">
      <c r="A3968">
        <f>HYPERLINK("https://www.youtube.com/watch?v=QpDRMoBHVTo", "Video")</f>
        <v/>
      </c>
      <c r="B3968" t="inlineStr">
        <is>
          <t>8:11</t>
        </is>
      </c>
      <c r="C3968" t="inlineStr">
        <is>
          <t>impact which vehicles customers drive or</t>
        </is>
      </c>
      <c r="D3968">
        <f>HYPERLINK("https://www.youtube.com/watch?v=QpDRMoBHVTo&amp;t=491s", "Go to time")</f>
        <v/>
      </c>
    </row>
    <row r="3969">
      <c r="A3969">
        <f>HYPERLINK("https://www.youtube.com/watch?v=QpDRMoBHVTo", "Video")</f>
        <v/>
      </c>
      <c r="B3969" t="inlineStr">
        <is>
          <t>8:13</t>
        </is>
      </c>
      <c r="C3969" t="inlineStr">
        <is>
          <t>don't drive in the future</t>
        </is>
      </c>
      <c r="D3969">
        <f>HYPERLINK("https://www.youtube.com/watch?v=QpDRMoBHVTo&amp;t=493s", "Go to time")</f>
        <v/>
      </c>
    </row>
    <row r="3970">
      <c r="A3970">
        <f>HYPERLINK("https://www.youtube.com/watch?v=0zV9qk5rIaM", "Video")</f>
        <v/>
      </c>
      <c r="B3970" t="inlineStr">
        <is>
          <t>4:30</t>
        </is>
      </c>
      <c r="C3970" t="inlineStr">
        <is>
          <t>more diagnoses insurer driven diagnoses</t>
        </is>
      </c>
      <c r="D3970">
        <f>HYPERLINK("https://www.youtube.com/watch?v=0zV9qk5rIaM&amp;t=270s", "Go to time")</f>
        <v/>
      </c>
    </row>
    <row r="3971">
      <c r="A3971">
        <f>HYPERLINK("https://www.youtube.com/watch?v=2BhJxn0HfE0", "Video")</f>
        <v/>
      </c>
      <c r="B3971" t="inlineStr">
        <is>
          <t>0:11</t>
        </is>
      </c>
      <c r="C3971" t="inlineStr">
        <is>
          <t>(driver speaking in foreign language)</t>
        </is>
      </c>
      <c r="D3971">
        <f>HYPERLINK("https://www.youtube.com/watch?v=2BhJxn0HfE0&amp;t=11s", "Go to time")</f>
        <v/>
      </c>
    </row>
    <row r="3972">
      <c r="A3972">
        <f>HYPERLINK("https://www.youtube.com/watch?v=_swF3PZ8z2U", "Video")</f>
        <v/>
      </c>
      <c r="B3972" t="inlineStr">
        <is>
          <t>1:36</t>
        </is>
      </c>
      <c r="C3972" t="inlineStr">
        <is>
          <t>and drivers live in more than 100</t>
        </is>
      </c>
      <c r="D3972">
        <f>HYPERLINK("https://www.youtube.com/watch?v=_swF3PZ8z2U&amp;t=96s", "Go to time")</f>
        <v/>
      </c>
    </row>
    <row r="3973">
      <c r="A3973">
        <f>HYPERLINK("https://www.youtube.com/watch?v=ljs8J7XGewI", "Video")</f>
        <v/>
      </c>
      <c r="B3973" t="inlineStr">
        <is>
          <t>1:40</t>
        </is>
      </c>
      <c r="C3973" t="inlineStr">
        <is>
          <t>advanced driver assistance technology</t>
        </is>
      </c>
      <c r="D3973">
        <f>HYPERLINK("https://www.youtube.com/watch?v=ljs8J7XGewI&amp;t=100s", "Go to time")</f>
        <v/>
      </c>
    </row>
    <row r="3974">
      <c r="A3974">
        <f>HYPERLINK("https://www.youtube.com/watch?v=ljs8J7XGewI", "Video")</f>
        <v/>
      </c>
      <c r="B3974" t="inlineStr">
        <is>
          <t>2:01</t>
        </is>
      </c>
      <c r="C3974" t="inlineStr">
        <is>
          <t>scrutiny of advanced driver assistance</t>
        </is>
      </c>
      <c r="D3974">
        <f>HYPERLINK("https://www.youtube.com/watch?v=ljs8J7XGewI&amp;t=121s", "Go to time")</f>
        <v/>
      </c>
    </row>
    <row r="3975">
      <c r="A3975">
        <f>HYPERLINK("https://www.youtube.com/watch?v=ljs8J7XGewI", "Video")</f>
        <v/>
      </c>
      <c r="B3975" t="inlineStr">
        <is>
          <t>2:13</t>
        </is>
      </c>
      <c r="C3975" t="inlineStr">
        <is>
          <t>tesla's advanced driver resistance</t>
        </is>
      </c>
      <c r="D3975">
        <f>HYPERLINK("https://www.youtube.com/watch?v=ljs8J7XGewI&amp;t=133s", "Go to time")</f>
        <v/>
      </c>
    </row>
    <row r="3976">
      <c r="A3976">
        <f>HYPERLINK("https://www.youtube.com/watch?v=TA4Wo08vGqk", "Video")</f>
        <v/>
      </c>
      <c r="B3976" t="inlineStr">
        <is>
          <t>2:53</t>
        </is>
      </c>
      <c r="C3976" t="inlineStr">
        <is>
          <t>drive with these on and yeah they're not</t>
        </is>
      </c>
      <c r="D3976">
        <f>HYPERLINK("https://www.youtube.com/watch?v=TA4Wo08vGqk&amp;t=173s", "Go to time")</f>
        <v/>
      </c>
    </row>
    <row r="3977">
      <c r="A3977">
        <f>HYPERLINK("https://www.youtube.com/watch?v=9SrkmNPBdiU", "Video")</f>
        <v/>
      </c>
      <c r="B3977" t="inlineStr">
        <is>
          <t>1:52</t>
        </is>
      </c>
      <c r="C3977" t="inlineStr">
        <is>
          <t>while slowing drivers down,</t>
        </is>
      </c>
      <c r="D3977">
        <f>HYPERLINK("https://www.youtube.com/watch?v=9SrkmNPBdiU&amp;t=112s", "Go to time")</f>
        <v/>
      </c>
    </row>
    <row r="3978">
      <c r="A3978">
        <f>HYPERLINK("https://www.youtube.com/watch?v=9SrkmNPBdiU", "Video")</f>
        <v/>
      </c>
      <c r="B3978" t="inlineStr">
        <is>
          <t>4:03</t>
        </is>
      </c>
      <c r="C3978" t="inlineStr">
        <is>
          <t>It would charge drivers more for access</t>
        </is>
      </c>
      <c r="D3978">
        <f>HYPERLINK("https://www.youtube.com/watch?v=9SrkmNPBdiU&amp;t=243s", "Go to time")</f>
        <v/>
      </c>
    </row>
    <row r="3979">
      <c r="A3979">
        <f>HYPERLINK("https://www.youtube.com/watch?v=htPQrCBLBaQ", "Video")</f>
        <v/>
      </c>
      <c r="B3979" t="inlineStr">
        <is>
          <t>11:36</t>
        </is>
      </c>
      <c r="C3979" t="inlineStr">
        <is>
          <t>we were more driven to succeed than</t>
        </is>
      </c>
      <c r="D3979">
        <f>HYPERLINK("https://www.youtube.com/watch?v=htPQrCBLBaQ&amp;t=696s", "Go to time")</f>
        <v/>
      </c>
    </row>
    <row r="3980">
      <c r="A3980">
        <f>HYPERLINK("https://www.youtube.com/watch?v=DzHcw-YUFcY", "Video")</f>
        <v/>
      </c>
      <c r="B3980" t="inlineStr">
        <is>
          <t>2:40</t>
        </is>
      </c>
      <c r="C3980" t="inlineStr">
        <is>
          <t>complaints about spit are driven by our</t>
        </is>
      </c>
      <c r="D3980">
        <f>HYPERLINK("https://www.youtube.com/watch?v=DzHcw-YUFcY&amp;t=160s", "Go to time")</f>
        <v/>
      </c>
    </row>
    <row r="3981">
      <c r="A3981">
        <f>HYPERLINK("https://www.youtube.com/watch?v=4mkpJkdk-1A", "Video")</f>
        <v/>
      </c>
      <c r="B3981" t="inlineStr">
        <is>
          <t>4:18</t>
        </is>
      </c>
      <c r="C3981" t="inlineStr">
        <is>
          <t>that really drive your
departure length requirement</t>
        </is>
      </c>
      <c r="D3981">
        <f>HYPERLINK("https://www.youtube.com/watch?v=4mkpJkdk-1A&amp;t=258s", "Go to time")</f>
        <v/>
      </c>
    </row>
    <row r="3982">
      <c r="A3982">
        <f>HYPERLINK("https://www.youtube.com/watch?v=GBKnEZYCkTo", "Video")</f>
        <v/>
      </c>
      <c r="B3982" t="inlineStr">
        <is>
          <t>0:41</t>
        </is>
      </c>
      <c r="C3982" t="inlineStr">
        <is>
          <t>- That's primarily driven
by retail investors.</t>
        </is>
      </c>
      <c r="D3982">
        <f>HYPERLINK("https://www.youtube.com/watch?v=GBKnEZYCkTo&amp;t=41s", "Go to time")</f>
        <v/>
      </c>
    </row>
    <row r="3983">
      <c r="A3983">
        <f>HYPERLINK("https://www.youtube.com/watch?v=jSCbYMQO9uo", "Video")</f>
        <v/>
      </c>
      <c r="B3983" t="inlineStr">
        <is>
          <t>1:33</t>
        </is>
      </c>
      <c r="C3983" t="inlineStr">
        <is>
          <t>learning how to drive a tank here.</t>
        </is>
      </c>
      <c r="D3983">
        <f>HYPERLINK("https://www.youtube.com/watch?v=jSCbYMQO9uo&amp;t=93s", "Go to time")</f>
        <v/>
      </c>
    </row>
    <row r="3984">
      <c r="A3984">
        <f>HYPERLINK("https://www.youtube.com/watch?v=jSCbYMQO9uo", "Video")</f>
        <v/>
      </c>
      <c r="B3984" t="inlineStr">
        <is>
          <t>1:47</t>
        </is>
      </c>
      <c r="C3984" t="inlineStr">
        <is>
          <t>but if you know how to drive a tank,</t>
        </is>
      </c>
      <c r="D3984">
        <f>HYPERLINK("https://www.youtube.com/watch?v=jSCbYMQO9uo&amp;t=107s", "Go to time")</f>
        <v/>
      </c>
    </row>
    <row r="3985">
      <c r="A3985">
        <f>HYPERLINK("https://www.youtube.com/watch?v=jSCbYMQO9uo", "Video")</f>
        <v/>
      </c>
      <c r="B3985" t="inlineStr">
        <is>
          <t>1:49</t>
        </is>
      </c>
      <c r="C3985" t="inlineStr">
        <is>
          <t>you know how to drive a tank.</t>
        </is>
      </c>
      <c r="D3985">
        <f>HYPERLINK("https://www.youtube.com/watch?v=jSCbYMQO9uo&amp;t=109s", "Go to time")</f>
        <v/>
      </c>
    </row>
    <row r="3986">
      <c r="A3986">
        <f>HYPERLINK("https://www.youtube.com/watch?v=jSCbYMQO9uo", "Video")</f>
        <v/>
      </c>
      <c r="B3986" t="inlineStr">
        <is>
          <t>1:57</t>
        </is>
      </c>
      <c r="C3986" t="inlineStr">
        <is>
          <t>You know how to drive.</t>
        </is>
      </c>
      <c r="D3986">
        <f>HYPERLINK("https://www.youtube.com/watch?v=jSCbYMQO9uo&amp;t=117s", "Go to time")</f>
        <v/>
      </c>
    </row>
    <row r="3987">
      <c r="A3987">
        <f>HYPERLINK("https://www.youtube.com/watch?v=jSCbYMQO9uo", "Video")</f>
        <v/>
      </c>
      <c r="B3987" t="inlineStr">
        <is>
          <t>6:38</t>
        </is>
      </c>
      <c r="C3987" t="inlineStr">
        <is>
          <t>to drive the Russians out of their turf.</t>
        </is>
      </c>
      <c r="D3987">
        <f>HYPERLINK("https://www.youtube.com/watch?v=jSCbYMQO9uo&amp;t=398s", "Go to time")</f>
        <v/>
      </c>
    </row>
    <row r="3988">
      <c r="A3988">
        <f>HYPERLINK("https://www.youtube.com/watch?v=MqgjBhNOWXk", "Video")</f>
        <v/>
      </c>
      <c r="B3988" t="inlineStr">
        <is>
          <t>0:47</t>
        </is>
      </c>
      <c r="C3988" t="inlineStr">
        <is>
          <t>of attention coverage drives a lot of</t>
        </is>
      </c>
      <c r="D3988">
        <f>HYPERLINK("https://www.youtube.com/watch?v=MqgjBhNOWXk&amp;t=47s", "Go to time")</f>
        <v/>
      </c>
    </row>
    <row r="3989">
      <c r="A3989">
        <f>HYPERLINK("https://www.youtube.com/watch?v=o5ZfgU9EllI", "Video")</f>
        <v/>
      </c>
      <c r="B3989" t="inlineStr">
        <is>
          <t>0:45</t>
        </is>
      </c>
      <c r="C3989" t="inlineStr">
        <is>
          <t>offerings for a future when drivers</t>
        </is>
      </c>
      <c r="D3989">
        <f>HYPERLINK("https://www.youtube.com/watch?v=o5ZfgU9EllI&amp;t=45s", "Go to time")</f>
        <v/>
      </c>
    </row>
    <row r="3990">
      <c r="A3990">
        <f>HYPERLINK("https://www.youtube.com/watch?v=o5ZfgU9EllI", "Video")</f>
        <v/>
      </c>
      <c r="B3990" t="inlineStr">
        <is>
          <t>1:03</t>
        </is>
      </c>
      <c r="C3990" t="inlineStr">
        <is>
          <t>Drive ecosystem that's Polestar byd and</t>
        </is>
      </c>
      <c r="D3990">
        <f>HYPERLINK("https://www.youtube.com/watch?v=o5ZfgU9EllI&amp;t=63s", "Go to time")</f>
        <v/>
      </c>
    </row>
    <row r="3991">
      <c r="A3991">
        <f>HYPERLINK("https://www.youtube.com/watch?v=o5ZfgU9EllI", "Video")</f>
        <v/>
      </c>
      <c r="B3991" t="inlineStr">
        <is>
          <t>2:28</t>
        </is>
      </c>
      <c r="C3991" t="inlineStr">
        <is>
          <t>it into any vehicle Uber drivers I'm</t>
        </is>
      </c>
      <c r="D3991">
        <f>HYPERLINK("https://www.youtube.com/watch?v=o5ZfgU9EllI&amp;t=148s", "Go to time")</f>
        <v/>
      </c>
    </row>
    <row r="3992">
      <c r="A3992">
        <f>HYPERLINK("https://www.youtube.com/watch?v=o5ZfgU9EllI", "Video")</f>
        <v/>
      </c>
      <c r="B3992" t="inlineStr">
        <is>
          <t>3:11</t>
        </is>
      </c>
      <c r="C3992" t="inlineStr">
        <is>
          <t>supposed to be driverless the company</t>
        </is>
      </c>
      <c r="D3992">
        <f>HYPERLINK("https://www.youtube.com/watch?v=o5ZfgU9EllI&amp;t=191s", "Go to time")</f>
        <v/>
      </c>
    </row>
    <row r="3993">
      <c r="A3993">
        <f>HYPERLINK("https://www.youtube.com/watch?v=o5ZfgU9EllI", "Video")</f>
        <v/>
      </c>
      <c r="B3993" t="inlineStr">
        <is>
          <t>4:01</t>
        </is>
      </c>
      <c r="C3993" t="inlineStr">
        <is>
          <t>if you're going on a long boring drive</t>
        </is>
      </c>
      <c r="D3993">
        <f>HYPERLINK("https://www.youtube.com/watch?v=o5ZfgU9EllI&amp;t=241s", "Go to time")</f>
        <v/>
      </c>
    </row>
    <row r="3994">
      <c r="A3994">
        <f>HYPERLINK("https://www.youtube.com/watch?v=WG1U6YIAd6o", "Video")</f>
        <v/>
      </c>
      <c r="B3994" t="inlineStr">
        <is>
          <t>3:32</t>
        </is>
      </c>
      <c r="C3994" t="inlineStr">
        <is>
          <t>activity is certainly a huge driver or</t>
        </is>
      </c>
      <c r="D3994">
        <f>HYPERLINK("https://www.youtube.com/watch?v=WG1U6YIAd6o&amp;t=212s", "Go to time")</f>
        <v/>
      </c>
    </row>
    <row r="3995">
      <c r="A3995">
        <f>HYPERLINK("https://www.youtube.com/watch?v=WG1U6YIAd6o", "Video")</f>
        <v/>
      </c>
      <c r="B3995" t="inlineStr">
        <is>
          <t>3:38</t>
        </is>
      </c>
      <c r="C3995" t="inlineStr">
        <is>
          <t>sedentary activity are huge drivers of U</t>
        </is>
      </c>
      <c r="D3995">
        <f>HYPERLINK("https://www.youtube.com/watch?v=WG1U6YIAd6o&amp;t=218s", "Go to time")</f>
        <v/>
      </c>
    </row>
    <row r="3996">
      <c r="A3996">
        <f>HYPERLINK("https://www.youtube.com/watch?v=cgeFvKqBgr0", "Video")</f>
        <v/>
      </c>
      <c r="B3996" t="inlineStr">
        <is>
          <t>1:14</t>
        </is>
      </c>
      <c r="C3996" t="inlineStr">
        <is>
          <t>technologically driven world it will</t>
        </is>
      </c>
      <c r="D3996">
        <f>HYPERLINK("https://www.youtube.com/watch?v=cgeFvKqBgr0&amp;t=74s", "Go to time")</f>
        <v/>
      </c>
    </row>
    <row r="3997">
      <c r="A3997">
        <f>HYPERLINK("https://www.youtube.com/watch?v=eLcTkkUUKC8", "Video")</f>
        <v/>
      </c>
      <c r="B3997" t="inlineStr">
        <is>
          <t>1:46</t>
        </is>
      </c>
      <c r="C3997" t="inlineStr">
        <is>
          <t>Trying to while they're fun to drive I'm</t>
        </is>
      </c>
      <c r="D3997">
        <f>HYPERLINK("https://www.youtube.com/watch?v=eLcTkkUUKC8&amp;t=106s", "Go to time")</f>
        <v/>
      </c>
    </row>
    <row r="3998">
      <c r="A3998">
        <f>HYPERLINK("https://www.youtube.com/watch?v=2YiZ0aHINBI", "Video")</f>
        <v/>
      </c>
      <c r="B3998" t="inlineStr">
        <is>
          <t>0:58</t>
        </is>
      </c>
      <c r="C3998" t="inlineStr">
        <is>
          <t>alerting a driver through a warning</t>
        </is>
      </c>
      <c r="D3998">
        <f>HYPERLINK("https://www.youtube.com/watch?v=2YiZ0aHINBI&amp;t=58s", "Go to time")</f>
        <v/>
      </c>
    </row>
    <row r="3999">
      <c r="A3999">
        <f>HYPERLINK("https://www.youtube.com/watch?v=zBCKcvjiyfc", "Video")</f>
        <v/>
      </c>
      <c r="B3999" t="inlineStr">
        <is>
          <t>2:54</t>
        </is>
      </c>
      <c r="C3999" t="inlineStr">
        <is>
          <t>Landau is a NASCAR driver but then we</t>
        </is>
      </c>
      <c r="D3999">
        <f>HYPERLINK("https://www.youtube.com/watch?v=zBCKcvjiyfc&amp;t=174s", "Go to time")</f>
        <v/>
      </c>
    </row>
    <row r="4000">
      <c r="A4000">
        <f>HYPERLINK("https://www.youtube.com/watch?v=mr05Bkf8NMk", "Video")</f>
        <v/>
      </c>
      <c r="B4000" t="inlineStr">
        <is>
          <t>0:03</t>
        </is>
      </c>
      <c r="C4000" t="inlineStr">
        <is>
          <t>taxi drivers in cities across the world</t>
        </is>
      </c>
      <c r="D4000">
        <f>HYPERLINK("https://www.youtube.com/watch?v=mr05Bkf8NMk&amp;t=3s", "Go to time")</f>
        <v/>
      </c>
    </row>
    <row r="4001">
      <c r="A4001">
        <f>HYPERLINK("https://www.youtube.com/watch?v=mr05Bkf8NMk", "Video")</f>
        <v/>
      </c>
      <c r="B4001" t="inlineStr">
        <is>
          <t>0:23</t>
        </is>
      </c>
      <c r="C4001" t="inlineStr">
        <is>
          <t>meters to calculate fairs Uber drivers</t>
        </is>
      </c>
      <c r="D4001">
        <f>HYPERLINK("https://www.youtube.com/watch?v=mr05Bkf8NMk&amp;t=23s", "Go to time")</f>
        <v/>
      </c>
    </row>
    <row r="4002">
      <c r="A4002">
        <f>HYPERLINK("https://www.youtube.com/watch?v=mr05Bkf8NMk", "Video")</f>
        <v/>
      </c>
      <c r="B4002" t="inlineStr">
        <is>
          <t>0:58</t>
        </is>
      </c>
      <c r="C4002" t="inlineStr">
        <is>
          <t>fair who can become an Uber driver in</t>
        </is>
      </c>
      <c r="D4002">
        <f>HYPERLINK("https://www.youtube.com/watch?v=mr05Bkf8NMk&amp;t=58s", "Go to time")</f>
        <v/>
      </c>
    </row>
    <row r="4003">
      <c r="A4003">
        <f>HYPERLINK("https://www.youtube.com/watch?v=mr05Bkf8NMk", "Video")</f>
        <v/>
      </c>
      <c r="B4003" t="inlineStr">
        <is>
          <t>1:04</t>
        </is>
      </c>
      <c r="C4003" t="inlineStr">
        <is>
          <t>drivers or people with some sort of</t>
        </is>
      </c>
      <c r="D4003">
        <f>HYPERLINK("https://www.youtube.com/watch?v=mr05Bkf8NMk&amp;t=64s", "Go to time")</f>
        <v/>
      </c>
    </row>
    <row r="4004">
      <c r="A4004">
        <f>HYPERLINK("https://www.youtube.com/watch?v=mr05Bkf8NMk", "Video")</f>
        <v/>
      </c>
      <c r="B4004" t="inlineStr">
        <is>
          <t>1:09</t>
        </is>
      </c>
      <c r="C4004" t="inlineStr">
        <is>
          <t>have a regular driver's license is this</t>
        </is>
      </c>
      <c r="D4004">
        <f>HYPERLINK("https://www.youtube.com/watch?v=mr05Bkf8NMk&amp;t=69s", "Go to time")</f>
        <v/>
      </c>
    </row>
    <row r="4005">
      <c r="A4005">
        <f>HYPERLINK("https://www.youtube.com/watch?v=mr05Bkf8NMk", "Video")</f>
        <v/>
      </c>
      <c r="B4005" t="inlineStr">
        <is>
          <t>1:21</t>
        </is>
      </c>
      <c r="C4005" t="inlineStr">
        <is>
          <t>for cabs so some cab drivers really</t>
        </is>
      </c>
      <c r="D4005">
        <f>HYPERLINK("https://www.youtube.com/watch?v=mr05Bkf8NMk&amp;t=81s", "Go to time")</f>
        <v/>
      </c>
    </row>
    <row r="4006">
      <c r="A4006">
        <f>HYPERLINK("https://www.youtube.com/watch?v=r27VD8Zqf5A", "Video")</f>
        <v/>
      </c>
      <c r="B4006" t="inlineStr">
        <is>
          <t>1:46</t>
        </is>
      </c>
      <c r="C4006" t="inlineStr">
        <is>
          <t>with the rear wheel drive?</t>
        </is>
      </c>
      <c r="D4006">
        <f>HYPERLINK("https://www.youtube.com/watch?v=r27VD8Zqf5A&amp;t=106s", "Go to time")</f>
        <v/>
      </c>
    </row>
    <row r="4007">
      <c r="A4007">
        <f>HYPERLINK("https://www.youtube.com/watch?v=0cp17otaHek", "Video")</f>
        <v/>
      </c>
      <c r="B4007" t="inlineStr">
        <is>
          <t>0:58</t>
        </is>
      </c>
      <c r="C4007" t="inlineStr">
        <is>
          <t>it's about an hour's drive from the Cur</t>
        </is>
      </c>
      <c r="D4007">
        <f>HYPERLINK("https://www.youtube.com/watch?v=0cp17otaHek&amp;t=58s", "Go to time")</f>
        <v/>
      </c>
    </row>
    <row r="4008">
      <c r="A4008">
        <f>HYPERLINK("https://www.youtube.com/watch?v=rq1iTrKRktU", "Video")</f>
        <v/>
      </c>
      <c r="B4008" t="inlineStr">
        <is>
          <t>1:07</t>
        </is>
      </c>
      <c r="C4008" t="inlineStr">
        <is>
          <t>drive. Yes, for now, to use Vue, you</t>
        </is>
      </c>
      <c r="D4008">
        <f>HYPERLINK("https://www.youtube.com/watch?v=rq1iTrKRktU&amp;t=67s", "Go to time")</f>
        <v/>
      </c>
    </row>
    <row r="4009">
      <c r="A4009">
        <f>HYPERLINK("https://www.youtube.com/watch?v=GpansTKjKDE", "Video")</f>
        <v/>
      </c>
      <c r="B4009" t="inlineStr">
        <is>
          <t>0:29</t>
        </is>
      </c>
      <c r="C4009" t="inlineStr">
        <is>
          <t>Those concerns, combined with
pandemic-driven impediments,</t>
        </is>
      </c>
      <c r="D4009">
        <f>HYPERLINK("https://www.youtube.com/watch?v=GpansTKjKDE&amp;t=29s", "Go to time")</f>
        <v/>
      </c>
    </row>
    <row r="4010">
      <c r="A4010">
        <f>HYPERLINK("https://www.youtube.com/watch?v=SQd2AcrwZ9k", "Video")</f>
        <v/>
      </c>
      <c r="B4010" t="inlineStr">
        <is>
          <t>3:21</t>
        </is>
      </c>
      <c r="C4010" t="inlineStr">
        <is>
          <t>legitimate concerns over Uber drivers</t>
        </is>
      </c>
      <c r="D4010">
        <f>HYPERLINK("https://www.youtube.com/watch?v=SQd2AcrwZ9k&amp;t=201s", "Go to time")</f>
        <v/>
      </c>
    </row>
    <row r="4011">
      <c r="A4011">
        <f>HYPERLINK("https://www.youtube.com/watch?v=dGspRsJtMq8", "Video")</f>
        <v/>
      </c>
      <c r="B4011" t="inlineStr">
        <is>
          <t>0:15</t>
        </is>
      </c>
      <c r="C4011" t="inlineStr">
        <is>
          <t>happen to be The Driver or happen to be</t>
        </is>
      </c>
      <c r="D4011">
        <f>HYPERLINK("https://www.youtube.com/watch?v=dGspRsJtMq8&amp;t=15s", "Go to time")</f>
        <v/>
      </c>
    </row>
    <row r="4012">
      <c r="A4012">
        <f>HYPERLINK("https://www.youtube.com/watch?v=dGspRsJtMq8", "Video")</f>
        <v/>
      </c>
      <c r="B4012" t="inlineStr">
        <is>
          <t>0:37</t>
        </is>
      </c>
      <c r="C4012" t="inlineStr">
        <is>
          <t>so whether you enter you know driver's</t>
        </is>
      </c>
      <c r="D4012">
        <f>HYPERLINK("https://www.youtube.com/watch?v=dGspRsJtMq8&amp;t=37s", "Go to time")</f>
        <v/>
      </c>
    </row>
    <row r="4013">
      <c r="A4013">
        <f>HYPERLINK("https://www.youtube.com/watch?v=dGspRsJtMq8", "Video")</f>
        <v/>
      </c>
      <c r="B4013" t="inlineStr">
        <is>
          <t>1:09</t>
        </is>
      </c>
      <c r="C4013" t="inlineStr">
        <is>
          <t>demand pedal so if you were a driver in</t>
        </is>
      </c>
      <c r="D4013">
        <f>HYPERLINK("https://www.youtube.com/watch?v=dGspRsJtMq8&amp;t=69s", "Go to time")</f>
        <v/>
      </c>
    </row>
    <row r="4014">
      <c r="A4014">
        <f>HYPERLINK("https://www.youtube.com/watch?v=dGspRsJtMq8", "Video")</f>
        <v/>
      </c>
      <c r="B4014" t="inlineStr">
        <is>
          <t>1:19</t>
        </is>
      </c>
      <c r="C4014" t="inlineStr">
        <is>
          <t>the friction brake on the car drivers</t>
        </is>
      </c>
      <c r="D4014">
        <f>HYPERLINK("https://www.youtube.com/watch?v=dGspRsJtMq8&amp;t=79s", "Go to time")</f>
        <v/>
      </c>
    </row>
    <row r="4015">
      <c r="A4015">
        <f>HYPERLINK("https://www.youtube.com/watch?v=dGspRsJtMq8", "Video")</f>
        <v/>
      </c>
      <c r="B4015" t="inlineStr">
        <is>
          <t>1:29</t>
        </is>
      </c>
      <c r="C4015" t="inlineStr">
        <is>
          <t>drive for for a while before taking a</t>
        </is>
      </c>
      <c r="D4015">
        <f>HYPERLINK("https://www.youtube.com/watch?v=dGspRsJtMq8&amp;t=89s", "Go to time")</f>
        <v/>
      </c>
    </row>
    <row r="4016">
      <c r="A4016">
        <f>HYPERLINK("https://www.youtube.com/watch?v=JBz_VB26pUg", "Video")</f>
        <v/>
      </c>
      <c r="B4016" t="inlineStr">
        <is>
          <t>3:05</t>
        </is>
      </c>
      <c r="C4016" t="inlineStr">
        <is>
          <t>based driver monitoring systems what are</t>
        </is>
      </c>
      <c r="D4016">
        <f>HYPERLINK("https://www.youtube.com/watch?v=JBz_VB26pUg&amp;t=185s", "Go to time")</f>
        <v/>
      </c>
    </row>
    <row r="4017">
      <c r="A4017">
        <f>HYPERLINK("https://www.youtube.com/watch?v=wsZY2pucN6A", "Video")</f>
        <v/>
      </c>
      <c r="B4017" t="inlineStr">
        <is>
          <t>0:58</t>
        </is>
      </c>
      <c r="C4017" t="inlineStr">
        <is>
          <t>which is this drive to treat the public</t>
        </is>
      </c>
      <c r="D4017">
        <f>HYPERLINK("https://www.youtube.com/watch?v=wsZY2pucN6A&amp;t=58s", "Go to time")</f>
        <v/>
      </c>
    </row>
    <row r="4018">
      <c r="A4018">
        <f>HYPERLINK("https://www.youtube.com/watch?v=5jG-1FfGx5c", "Video")</f>
        <v/>
      </c>
      <c r="B4018" t="inlineStr">
        <is>
          <t>4:24</t>
        </is>
      </c>
      <c r="C4018" t="inlineStr">
        <is>
          <t>that the company reduced the
referral fee to help drive</t>
        </is>
      </c>
      <c r="D4018">
        <f>HYPERLINK("https://www.youtube.com/watch?v=5jG-1FfGx5c&amp;t=264s", "Go to time")</f>
        <v/>
      </c>
    </row>
    <row r="4019">
      <c r="A4019">
        <f>HYPERLINK("https://www.youtube.com/watch?v=5jG-1FfGx5c", "Video")</f>
        <v/>
      </c>
      <c r="B4019" t="inlineStr">
        <is>
          <t>6:05</t>
        </is>
      </c>
      <c r="C4019" t="inlineStr">
        <is>
          <t>- So what we really now need
to see is can they drive</t>
        </is>
      </c>
      <c r="D4019">
        <f>HYPERLINK("https://www.youtube.com/watch?v=5jG-1FfGx5c&amp;t=365s", "Go to time")</f>
        <v/>
      </c>
    </row>
    <row r="4020">
      <c r="A4020">
        <f>HYPERLINK("https://www.youtube.com/watch?v=VH5SrCAhs1Q", "Video")</f>
        <v/>
      </c>
      <c r="B4020" t="inlineStr">
        <is>
          <t>1:00</t>
        </is>
      </c>
      <c r="C4020" t="inlineStr">
        <is>
          <t>the bus driver Charles Poland and handed</t>
        </is>
      </c>
      <c r="D4020">
        <f>HYPERLINK("https://www.youtube.com/watch?v=VH5SrCAhs1Q&amp;t=60s", "Go to time")</f>
        <v/>
      </c>
    </row>
    <row r="4021">
      <c r="A4021">
        <f>HYPERLINK("https://www.youtube.com/watch?v=VH5SrCAhs1Q", "Video")</f>
        <v/>
      </c>
      <c r="B4021" t="inlineStr">
        <is>
          <t>2:11</t>
        </is>
      </c>
      <c r="C4021" t="inlineStr">
        <is>
          <t>driver what's the name of</t>
        </is>
      </c>
      <c r="D4021">
        <f>HYPERLINK("https://www.youtube.com/watch?v=VH5SrCAhs1Q&amp;t=131s", "Go to time")</f>
        <v/>
      </c>
    </row>
    <row r="4022">
      <c r="A4022">
        <f>HYPERLINK("https://www.youtube.com/watch?v=VH5SrCAhs1Q", "Video")</f>
        <v/>
      </c>
      <c r="B4022" t="inlineStr">
        <is>
          <t>11:03</t>
        </is>
      </c>
      <c r="C4022" t="inlineStr">
        <is>
          <t>driver Charles Poland's funeral Jim Dyk</t>
        </is>
      </c>
      <c r="D4022">
        <f>HYPERLINK("https://www.youtube.com/watch?v=VH5SrCAhs1Q&amp;t=663s", "Go to time")</f>
        <v/>
      </c>
    </row>
    <row r="4023">
      <c r="A4023">
        <f>HYPERLINK("https://www.youtube.com/watch?v=mNY8mqR55Ug", "Video")</f>
        <v/>
      </c>
      <c r="B4023" t="inlineStr">
        <is>
          <t>0:41</t>
        </is>
      </c>
      <c r="C4023" t="inlineStr">
        <is>
          <t>least to hard drives that are online</t>
        </is>
      </c>
      <c r="D4023">
        <f>HYPERLINK("https://www.youtube.com/watch?v=mNY8mqR55Ug&amp;t=41s", "Go to time")</f>
        <v/>
      </c>
    </row>
    <row r="4024">
      <c r="A4024">
        <f>HYPERLINK("https://www.youtube.com/watch?v=ZvQcW8Ekcow", "Video")</f>
        <v/>
      </c>
      <c r="B4024" t="inlineStr">
        <is>
          <t>6:19</t>
        </is>
      </c>
      <c r="C4024" t="inlineStr">
        <is>
          <t>- [Narrator] And ultimately,
the most important value driver</t>
        </is>
      </c>
      <c r="D4024">
        <f>HYPERLINK("https://www.youtube.com/watch?v=ZvQcW8Ekcow&amp;t=379s", "Go to time")</f>
        <v/>
      </c>
    </row>
    <row r="4025">
      <c r="A4025">
        <f>HYPERLINK("https://www.youtube.com/watch?v=WaGGAn5k1AA", "Video")</f>
        <v/>
      </c>
      <c r="B4025" t="inlineStr">
        <is>
          <t>1:07</t>
        </is>
      </c>
      <c r="C4025" t="inlineStr">
        <is>
          <t>on qualified plug-in electric drive</t>
        </is>
      </c>
      <c r="D4025">
        <f>HYPERLINK("https://www.youtube.com/watch?v=WaGGAn5k1AA&amp;t=67s", "Go to time")</f>
        <v/>
      </c>
    </row>
    <row r="4026">
      <c r="A4026">
        <f>HYPERLINK("https://www.youtube.com/watch?v=PQz_kxbMZJw", "Video")</f>
        <v/>
      </c>
      <c r="B4026" t="inlineStr">
        <is>
          <t>0:16</t>
        </is>
      </c>
      <c r="C4026" t="inlineStr">
        <is>
          <t>are they going to drive the profitable</t>
        </is>
      </c>
      <c r="D4026">
        <f>HYPERLINK("https://www.youtube.com/watch?v=PQz_kxbMZJw&amp;t=16s", "Go to time")</f>
        <v/>
      </c>
    </row>
    <row r="4027">
      <c r="A4027">
        <f>HYPERLINK("https://www.youtube.com/watch?v=PQz_kxbMZJw", "Video")</f>
        <v/>
      </c>
      <c r="B4027" t="inlineStr">
        <is>
          <t>1:28</t>
        </is>
      </c>
      <c r="C4027" t="inlineStr">
        <is>
          <t>supporting organizations that will drive</t>
        </is>
      </c>
      <c r="D4027">
        <f>HYPERLINK("https://www.youtube.com/watch?v=PQz_kxbMZJw&amp;t=88s", "Go to time")</f>
        <v/>
      </c>
    </row>
    <row r="4028">
      <c r="A4028">
        <f>HYPERLINK("https://www.youtube.com/watch?v=PQz_kxbMZJw", "Video")</f>
        <v/>
      </c>
      <c r="B4028" t="inlineStr">
        <is>
          <t>1:49</t>
        </is>
      </c>
      <c r="C4028" t="inlineStr">
        <is>
          <t>thing it has to drive a can't</t>
        </is>
      </c>
      <c r="D4028">
        <f>HYPERLINK("https://www.youtube.com/watch?v=PQz_kxbMZJw&amp;t=109s", "Go to time")</f>
        <v/>
      </c>
    </row>
    <row r="4029">
      <c r="A4029">
        <f>HYPERLINK("https://www.youtube.com/watch?v=1LtynafSg7A", "Video")</f>
        <v/>
      </c>
      <c r="B4029" t="inlineStr">
        <is>
          <t>6:09</t>
        </is>
      </c>
      <c r="C4029" t="inlineStr">
        <is>
          <t>who drive the trucks and
fly the planes around</t>
        </is>
      </c>
      <c r="D4029">
        <f>HYPERLINK("https://www.youtube.com/watch?v=1LtynafSg7A&amp;t=369s", "Go to time")</f>
        <v/>
      </c>
    </row>
    <row r="4030">
      <c r="A4030">
        <f>HYPERLINK("https://www.youtube.com/watch?v=Qz86qE5qTvI", "Video")</f>
        <v/>
      </c>
      <c r="B4030" t="inlineStr">
        <is>
          <t>5:41</t>
        </is>
      </c>
      <c r="C4030" t="inlineStr">
        <is>
          <t>female driven film which is very</t>
        </is>
      </c>
      <c r="D4030">
        <f>HYPERLINK("https://www.youtube.com/watch?v=Qz86qE5qTvI&amp;t=341s", "Go to time")</f>
        <v/>
      </c>
    </row>
    <row r="4031">
      <c r="A4031">
        <f>HYPERLINK("https://www.youtube.com/watch?v=Qz86qE5qTvI", "Video")</f>
        <v/>
      </c>
      <c r="B4031" t="inlineStr">
        <is>
          <t>5:56</t>
        </is>
      </c>
      <c r="C4031" t="inlineStr">
        <is>
          <t>support films that are female driven or</t>
        </is>
      </c>
      <c r="D4031">
        <f>HYPERLINK("https://www.youtube.com/watch?v=Qz86qE5qTvI&amp;t=356s", "Go to time")</f>
        <v/>
      </c>
    </row>
    <row r="4032">
      <c r="A4032">
        <f>HYPERLINK("https://www.youtube.com/watch?v=D3m02IWySnM", "Video")</f>
        <v/>
      </c>
      <c r="B4032" t="inlineStr">
        <is>
          <t>0:05</t>
        </is>
      </c>
      <c r="C4032" t="inlineStr">
        <is>
          <t>an alcohol impaired driver and with</t>
        </is>
      </c>
      <c r="D4032">
        <f>HYPERLINK("https://www.youtube.com/watch?v=D3m02IWySnM&amp;t=5s", "Go to time")</f>
        <v/>
      </c>
    </row>
    <row r="4033">
      <c r="A4033">
        <f>HYPERLINK("https://www.youtube.com/watch?v=Tqvlz_Puecg", "Video")</f>
        <v/>
      </c>
      <c r="B4033" t="inlineStr">
        <is>
          <t>2:43</t>
        </is>
      </c>
      <c r="C4033" t="inlineStr">
        <is>
          <t>clearly driven a lot of the changes um</t>
        </is>
      </c>
      <c r="D4033">
        <f>HYPERLINK("https://www.youtube.com/watch?v=Tqvlz_Puecg&amp;t=163s", "Go to time")</f>
        <v/>
      </c>
    </row>
    <row r="4034">
      <c r="A4034">
        <f>HYPERLINK("https://www.youtube.com/watch?v=QW1QT7DOOdA", "Video")</f>
        <v/>
      </c>
      <c r="B4034" t="inlineStr">
        <is>
          <t>1:50</t>
        </is>
      </c>
      <c r="C4034" t="inlineStr">
        <is>
          <t>stuff like this app driver which can</t>
        </is>
      </c>
      <c r="D4034">
        <f>HYPERLINK("https://www.youtube.com/watch?v=QW1QT7DOOdA&amp;t=110s", "Go to time")</f>
        <v/>
      </c>
    </row>
    <row r="4035">
      <c r="A4035">
        <f>HYPERLINK("https://www.youtube.com/watch?v=xyKLuz2HBS8", "Video")</f>
        <v/>
      </c>
      <c r="B4035" t="inlineStr">
        <is>
          <t>2:14</t>
        </is>
      </c>
      <c r="C4035" t="inlineStr">
        <is>
          <t>Drive both titles with huge followings</t>
        </is>
      </c>
      <c r="D4035">
        <f>HYPERLINK("https://www.youtube.com/watch?v=xyKLuz2HBS8&amp;t=134s", "Go to time")</f>
        <v/>
      </c>
    </row>
    <row r="4036">
      <c r="A4036">
        <f>HYPERLINK("https://www.youtube.com/watch?v=CSdvmifFe8w", "Video")</f>
        <v/>
      </c>
      <c r="B4036" t="inlineStr">
        <is>
          <t>1:34</t>
        </is>
      </c>
      <c r="C4036" t="inlineStr">
        <is>
          <t>Eva drives three miles from her house</t>
        </is>
      </c>
      <c r="D4036">
        <f>HYPERLINK("https://www.youtube.com/watch?v=CSdvmifFe8w&amp;t=94s", "Go to time")</f>
        <v/>
      </c>
    </row>
    <row r="4037">
      <c r="A4037">
        <f>HYPERLINK("https://www.youtube.com/watch?v=385HF18nbbE", "Video")</f>
        <v/>
      </c>
      <c r="B4037" t="inlineStr">
        <is>
          <t>4:38</t>
        </is>
      </c>
      <c r="C4037" t="inlineStr">
        <is>
          <t>a driver of their whole consumer</t>
        </is>
      </c>
      <c r="D4037">
        <f>HYPERLINK("https://www.youtube.com/watch?v=385HF18nbbE&amp;t=278s", "Go to time")</f>
        <v/>
      </c>
    </row>
    <row r="4038">
      <c r="A4038">
        <f>HYPERLINK("https://www.youtube.com/watch?v=1d62S2aLRhg", "Video")</f>
        <v/>
      </c>
      <c r="B4038" t="inlineStr">
        <is>
          <t>0:52</t>
        </is>
      </c>
      <c r="C4038" t="inlineStr">
        <is>
          <t>was driven out from the city in</t>
        </is>
      </c>
      <c r="D4038">
        <f>HYPERLINK("https://www.youtube.com/watch?v=1d62S2aLRhg&amp;t=52s", "Go to time")</f>
        <v/>
      </c>
    </row>
    <row r="4039">
      <c r="A4039">
        <f>HYPERLINK("https://www.youtube.com/watch?v=6ec7oJANT_U", "Video")</f>
        <v/>
      </c>
      <c r="B4039" t="inlineStr">
        <is>
          <t>2:02</t>
        </is>
      </c>
      <c r="C4039" t="inlineStr">
        <is>
          <t>Women were granted the right to drive</t>
        </is>
      </c>
      <c r="D4039">
        <f>HYPERLINK("https://www.youtube.com/watch?v=6ec7oJANT_U&amp;t=122s", "Go to time")</f>
        <v/>
      </c>
    </row>
    <row r="4040">
      <c r="A4040">
        <f>HYPERLINK("https://www.youtube.com/watch?v=6ec7oJANT_U", "Video")</f>
        <v/>
      </c>
      <c r="B4040" t="inlineStr">
        <is>
          <t>2:21</t>
        </is>
      </c>
      <c r="C4040" t="inlineStr">
        <is>
          <t>A new electric driverless
public transit system,</t>
        </is>
      </c>
      <c r="D4040">
        <f>HYPERLINK("https://www.youtube.com/watch?v=6ec7oJANT_U&amp;t=141s", "Go to time")</f>
        <v/>
      </c>
    </row>
    <row r="4041">
      <c r="A4041">
        <f>HYPERLINK("https://www.youtube.com/watch?v=BrilzVUk5xM", "Video")</f>
        <v/>
      </c>
      <c r="B4041" t="inlineStr">
        <is>
          <t>27:18</t>
        </is>
      </c>
      <c r="C4041" t="inlineStr">
        <is>
          <t>that's what drives us to
do the work that we do.</t>
        </is>
      </c>
      <c r="D4041">
        <f>HYPERLINK("https://www.youtube.com/watch?v=BrilzVUk5xM&amp;t=1638s", "Go to time")</f>
        <v/>
      </c>
    </row>
    <row r="4042">
      <c r="A4042">
        <f>HYPERLINK("https://www.youtube.com/watch?v=OqUuYygiRyg", "Video")</f>
        <v/>
      </c>
      <c r="B4042" t="inlineStr">
        <is>
          <t>0:13</t>
        </is>
      </c>
      <c r="C4042" t="inlineStr">
        <is>
          <t>driver closing the door leaving the</t>
        </is>
      </c>
      <c r="D4042">
        <f>HYPERLINK("https://www.youtube.com/watch?v=OqUuYygiRyg&amp;t=13s", "Go to time")</f>
        <v/>
      </c>
    </row>
    <row r="4043">
      <c r="A4043">
        <f>HYPERLINK("https://www.youtube.com/watch?v=P8GUhuuz9jY", "Video")</f>
        <v/>
      </c>
      <c r="B4043" t="inlineStr">
        <is>
          <t>1:08</t>
        </is>
      </c>
      <c r="C4043" t="inlineStr">
        <is>
          <t>asking is this a long-term growth driver</t>
        </is>
      </c>
      <c r="D4043">
        <f>HYPERLINK("https://www.youtube.com/watch?v=P8GUhuuz9jY&amp;t=68s", "Go to time")</f>
        <v/>
      </c>
    </row>
    <row r="4044">
      <c r="A4044">
        <f>HYPERLINK("https://www.youtube.com/watch?v=aL9evuvh3uo", "Video")</f>
        <v/>
      </c>
      <c r="B4044" t="inlineStr">
        <is>
          <t>0:02</t>
        </is>
      </c>
      <c r="C4044" t="inlineStr">
        <is>
          <t>jump driverless cars have come a long</t>
        </is>
      </c>
      <c r="D4044">
        <f>HYPERLINK("https://www.youtube.com/watch?v=aL9evuvh3uo&amp;t=2s", "Go to time")</f>
        <v/>
      </c>
    </row>
    <row r="4045">
      <c r="A4045">
        <f>HYPERLINK("https://www.youtube.com/watch?v=aL9evuvh3uo", "Video")</f>
        <v/>
      </c>
      <c r="B4045" t="inlineStr">
        <is>
          <t>0:19</t>
        </is>
      </c>
      <c r="C4045" t="inlineStr">
        <is>
          <t>driverless cars please go ahead to date</t>
        </is>
      </c>
      <c r="D4045">
        <f>HYPERLINK("https://www.youtube.com/watch?v=aL9evuvh3uo&amp;t=19s", "Go to time")</f>
        <v/>
      </c>
    </row>
    <row r="4046">
      <c r="A4046">
        <f>HYPERLINK("https://www.youtube.com/watch?v=aL9evuvh3uo", "Video")</f>
        <v/>
      </c>
      <c r="B4046" t="inlineStr">
        <is>
          <t>1:01</t>
        </is>
      </c>
      <c r="C4046" t="inlineStr">
        <is>
          <t>driver error Volvo has said they will</t>
        </is>
      </c>
      <c r="D4046">
        <f>HYPERLINK("https://www.youtube.com/watch?v=aL9evuvh3uo&amp;t=61s", "Go to time")</f>
        <v/>
      </c>
    </row>
    <row r="4047">
      <c r="A4047">
        <f>HYPERLINK("https://www.youtube.com/watch?v=1Mgo0QwwyDc", "Video")</f>
        <v/>
      </c>
      <c r="B4047" t="inlineStr">
        <is>
          <t>2:00</t>
        </is>
      </c>
      <c r="C4047" t="inlineStr">
        <is>
          <t>really Drive these companies forward I</t>
        </is>
      </c>
      <c r="D4047">
        <f>HYPERLINK("https://www.youtube.com/watch?v=1Mgo0QwwyDc&amp;t=120s", "Go to time")</f>
        <v/>
      </c>
    </row>
    <row r="4048">
      <c r="A4048">
        <f>HYPERLINK("https://www.youtube.com/watch?v=WUKEYDep8as", "Video")</f>
        <v/>
      </c>
      <c r="B4048" t="inlineStr">
        <is>
          <t>1:50</t>
        </is>
      </c>
      <c r="C4048" t="inlineStr">
        <is>
          <t>- That was a business driven
recession where companies</t>
        </is>
      </c>
      <c r="D4048">
        <f>HYPERLINK("https://www.youtube.com/watch?v=WUKEYDep8as&amp;t=110s", "Go to time")</f>
        <v/>
      </c>
    </row>
    <row r="4049">
      <c r="A4049">
        <f>HYPERLINK("https://www.youtube.com/watch?v=yYrir27y7p0", "Video")</f>
        <v/>
      </c>
      <c r="B4049" t="inlineStr">
        <is>
          <t>0:08</t>
        </is>
      </c>
      <c r="C4049" t="inlineStr">
        <is>
          <t>to help drive their profits.</t>
        </is>
      </c>
      <c r="D4049">
        <f>HYPERLINK("https://www.youtube.com/watch?v=yYrir27y7p0&amp;t=8s", "Go to time")</f>
        <v/>
      </c>
    </row>
    <row r="4050">
      <c r="A4050">
        <f>HYPERLINK("https://www.youtube.com/watch?v=BRIWJuqdjag", "Video")</f>
        <v/>
      </c>
      <c r="B4050" t="inlineStr">
        <is>
          <t>2:57</t>
        </is>
      </c>
      <c r="C4050" t="inlineStr">
        <is>
          <t>like driverless cars and
artificial intelligence,</t>
        </is>
      </c>
      <c r="D4050">
        <f>HYPERLINK("https://www.youtube.com/watch?v=BRIWJuqdjag&amp;t=177s", "Go to time")</f>
        <v/>
      </c>
    </row>
    <row r="4051">
      <c r="A4051">
        <f>HYPERLINK("https://www.youtube.com/watch?v=hRnS8kjeSTI", "Video")</f>
        <v/>
      </c>
      <c r="B4051" t="inlineStr">
        <is>
          <t>5:17</t>
        </is>
      </c>
      <c r="C4051" t="inlineStr">
        <is>
          <t>governance driven in May 2017 one of</t>
        </is>
      </c>
      <c r="D4051">
        <f>HYPERLINK("https://www.youtube.com/watch?v=hRnS8kjeSTI&amp;t=317s", "Go to time")</f>
        <v/>
      </c>
    </row>
    <row r="4052">
      <c r="A4052">
        <f>HYPERLINK("https://www.youtube.com/watch?v=2o-FcAlDS7o", "Video")</f>
        <v/>
      </c>
      <c r="B4052" t="inlineStr">
        <is>
          <t>1:18</t>
        </is>
      </c>
      <c r="C4052" t="inlineStr">
        <is>
          <t>husband drives a scooter every day to</t>
        </is>
      </c>
      <c r="D4052">
        <f>HYPERLINK("https://www.youtube.com/watch?v=2o-FcAlDS7o&amp;t=78s", "Go to time")</f>
        <v/>
      </c>
    </row>
    <row r="4053">
      <c r="A4053">
        <f>HYPERLINK("https://www.youtube.com/watch?v=hJbnEJGj2yg", "Video")</f>
        <v/>
      </c>
      <c r="B4053" t="inlineStr">
        <is>
          <t>4:45</t>
        </is>
      </c>
      <c r="C4053" t="inlineStr">
        <is>
          <t>drive a hub of off-campus life for</t>
        </is>
      </c>
      <c r="D4053">
        <f>HYPERLINK("https://www.youtube.com/watch?v=hJbnEJGj2yg&amp;t=285s", "Go to time")</f>
        <v/>
      </c>
    </row>
    <row r="4054">
      <c r="A4054">
        <f>HYPERLINK("https://www.youtube.com/watch?v=9PHwW42kTEM", "Video")</f>
        <v/>
      </c>
      <c r="B4054" t="inlineStr">
        <is>
          <t>1:41</t>
        </is>
      </c>
      <c r="C4054" t="inlineStr">
        <is>
          <t>that drive my time in fifa</t>
        </is>
      </c>
      <c r="D4054">
        <f>HYPERLINK("https://www.youtube.com/watch?v=9PHwW42kTEM&amp;t=101s", "Go to time")</f>
        <v/>
      </c>
    </row>
    <row r="4055">
      <c r="A4055">
        <f>HYPERLINK("https://www.youtube.com/watch?v=0G8xbVf9oYI", "Video")</f>
        <v/>
      </c>
      <c r="B4055" t="inlineStr">
        <is>
          <t>1:03</t>
        </is>
      </c>
      <c r="C4055" t="inlineStr">
        <is>
          <t>paul walker the widow of the driver of</t>
        </is>
      </c>
      <c r="D4055">
        <f>HYPERLINK("https://www.youtube.com/watch?v=0G8xbVf9oYI&amp;t=63s", "Go to time")</f>
        <v/>
      </c>
    </row>
    <row r="4056">
      <c r="A4056">
        <f>HYPERLINK("https://www.youtube.com/watch?v=xJEMDs4j7vg", "Video")</f>
        <v/>
      </c>
      <c r="B4056" t="inlineStr">
        <is>
          <t>3:35</t>
        </is>
      </c>
      <c r="C4056" t="inlineStr">
        <is>
          <t>to the drivers.</t>
        </is>
      </c>
      <c r="D4056">
        <f>HYPERLINK("https://www.youtube.com/watch?v=xJEMDs4j7vg&amp;t=215s", "Go to time")</f>
        <v/>
      </c>
    </row>
    <row r="4057">
      <c r="A4057">
        <f>HYPERLINK("https://www.youtube.com/watch?v=JWkaOBWmLmY", "Video")</f>
        <v/>
      </c>
      <c r="B4057" t="inlineStr">
        <is>
          <t>1:29</t>
        </is>
      </c>
      <c r="C4057" t="inlineStr">
        <is>
          <t>valuation is ultimately what drives</t>
        </is>
      </c>
      <c r="D4057">
        <f>HYPERLINK("https://www.youtube.com/watch?v=JWkaOBWmLmY&amp;t=89s", "Go to time")</f>
        <v/>
      </c>
    </row>
    <row r="4058">
      <c r="A4058">
        <f>HYPERLINK("https://www.youtube.com/watch?v=O_qgI3T6qVg", "Video")</f>
        <v/>
      </c>
      <c r="B4058" t="inlineStr">
        <is>
          <t>1:50</t>
        </is>
      </c>
      <c r="C4058" t="inlineStr">
        <is>
          <t>towboats and training drivers so they</t>
        </is>
      </c>
      <c r="D4058">
        <f>HYPERLINK("https://www.youtube.com/watch?v=O_qgI3T6qVg&amp;t=110s", "Go to time")</f>
        <v/>
      </c>
    </row>
    <row r="4059">
      <c r="A4059">
        <f>HYPERLINK("https://www.youtube.com/watch?v=_KVYqbrugs0", "Video")</f>
        <v/>
      </c>
      <c r="B4059" t="inlineStr">
        <is>
          <t>0:22</t>
        </is>
      </c>
      <c r="C4059" t="inlineStr">
        <is>
          <t>years old and I'm a Pedic driver and I</t>
        </is>
      </c>
      <c r="D4059">
        <f>HYPERLINK("https://www.youtube.com/watch?v=_KVYqbrugs0&amp;t=22s", "Go to time")</f>
        <v/>
      </c>
    </row>
    <row r="4060">
      <c r="A4060">
        <f>HYPERLINK("https://www.youtube.com/watch?v=0NK-rlCJGEM", "Video")</f>
        <v/>
      </c>
      <c r="B4060" t="inlineStr">
        <is>
          <t>5:25</t>
        </is>
      </c>
      <c r="C4060" t="inlineStr">
        <is>
          <t>competition drives us to innovate and it</t>
        </is>
      </c>
      <c r="D4060">
        <f>HYPERLINK("https://www.youtube.com/watch?v=0NK-rlCJGEM&amp;t=325s", "Go to time")</f>
        <v/>
      </c>
    </row>
    <row r="4061">
      <c r="A4061">
        <f>HYPERLINK("https://www.youtube.com/watch?v=KMXSDvPHa_k", "Video")</f>
        <v/>
      </c>
      <c r="B4061" t="inlineStr">
        <is>
          <t>1:23</t>
        </is>
      </c>
      <c r="C4061" t="inlineStr">
        <is>
          <t>expansion but yes it's definitely driven</t>
        </is>
      </c>
      <c r="D4061">
        <f>HYPERLINK("https://www.youtube.com/watch?v=KMXSDvPHa_k&amp;t=83s", "Go to time")</f>
        <v/>
      </c>
    </row>
    <row r="4062">
      <c r="A4062">
        <f>HYPERLINK("https://www.youtube.com/watch?v=N3hWVj3aS74", "Video")</f>
        <v/>
      </c>
      <c r="B4062" t="inlineStr">
        <is>
          <t>1:35</t>
        </is>
      </c>
      <c r="C4062" t="inlineStr">
        <is>
          <t>using the bedside manner to drive better</t>
        </is>
      </c>
      <c r="D4062">
        <f>HYPERLINK("https://www.youtube.com/watch?v=N3hWVj3aS74&amp;t=95s", "Go to time")</f>
        <v/>
      </c>
    </row>
    <row r="4063">
      <c r="A4063">
        <f>HYPERLINK("https://www.youtube.com/watch?v=0fQmoFmnw1c", "Video")</f>
        <v/>
      </c>
      <c r="B4063" t="inlineStr">
        <is>
          <t>0:24</t>
        </is>
      </c>
      <c r="C4063" t="inlineStr">
        <is>
          <t>bets like driverless cars the latest</t>
        </is>
      </c>
      <c r="D4063">
        <f>HYPERLINK("https://www.youtube.com/watch?v=0fQmoFmnw1c&amp;t=24s", "Go to time")</f>
        <v/>
      </c>
    </row>
    <row r="4064">
      <c r="A4064">
        <f>HYPERLINK("https://www.youtube.com/watch?v=5q_836zk4Ws", "Video")</f>
        <v/>
      </c>
      <c r="B4064" t="inlineStr">
        <is>
          <t>0:43</t>
        </is>
      </c>
      <c r="C4064" t="inlineStr">
        <is>
          <t>now has been a lot being driven by</t>
        </is>
      </c>
      <c r="D4064">
        <f>HYPERLINK("https://www.youtube.com/watch?v=5q_836zk4Ws&amp;t=43s", "Go to time")</f>
        <v/>
      </c>
    </row>
    <row r="4065">
      <c r="A4065">
        <f>HYPERLINK("https://www.youtube.com/watch?v=jAEyfvy22NQ", "Video")</f>
        <v/>
      </c>
      <c r="B4065" t="inlineStr">
        <is>
          <t>0:21</t>
        </is>
      </c>
      <c r="C4065" t="inlineStr">
        <is>
          <t>making sports cars famously driven by a</t>
        </is>
      </c>
      <c r="D4065">
        <f>HYPERLINK("https://www.youtube.com/watch?v=jAEyfvy22NQ&amp;t=21s", "Go to time")</f>
        <v/>
      </c>
    </row>
    <row r="4066">
      <c r="A4066">
        <f>HYPERLINK("https://www.youtube.com/watch?v=kVAtTLf-_oQ", "Video")</f>
        <v/>
      </c>
      <c r="B4066" t="inlineStr">
        <is>
          <t>0:19</t>
        </is>
      </c>
      <c r="C4066" t="inlineStr">
        <is>
          <t>mercedesbenz driven by</t>
        </is>
      </c>
      <c r="D4066">
        <f>HYPERLINK("https://www.youtube.com/watch?v=kVAtTLf-_oQ&amp;t=19s", "Go to time")</f>
        <v/>
      </c>
    </row>
    <row r="4067">
      <c r="A4067">
        <f>HYPERLINK("https://www.youtube.com/watch?v=IIWeJHmh0xY", "Video")</f>
        <v/>
      </c>
      <c r="B4067" t="inlineStr">
        <is>
          <t>7:20</t>
        </is>
      </c>
      <c r="C4067" t="inlineStr">
        <is>
          <t>with an electric drive propulsion train</t>
        </is>
      </c>
      <c r="D4067">
        <f>HYPERLINK("https://www.youtube.com/watch?v=IIWeJHmh0xY&amp;t=440s", "Go to time")</f>
        <v/>
      </c>
    </row>
    <row r="4068">
      <c r="A4068">
        <f>HYPERLINK("https://www.youtube.com/watch?v=IIWeJHmh0xY", "Video")</f>
        <v/>
      </c>
      <c r="B4068" t="inlineStr">
        <is>
          <t>7:23</t>
        </is>
      </c>
      <c r="C4068" t="inlineStr">
        <is>
          <t>versus the traditional
mechanical drive system.</t>
        </is>
      </c>
      <c r="D4068">
        <f>HYPERLINK("https://www.youtube.com/watch?v=IIWeJHmh0xY&amp;t=443s", "Go to time")</f>
        <v/>
      </c>
    </row>
    <row r="4069">
      <c r="A4069">
        <f>HYPERLINK("https://www.youtube.com/watch?v=ku-dQCyOSu0", "Video")</f>
        <v/>
      </c>
      <c r="B4069" t="inlineStr">
        <is>
          <t>0:09</t>
        </is>
      </c>
      <c r="C4069" t="inlineStr">
        <is>
          <t>that detect whether
you're too tired to drive.</t>
        </is>
      </c>
      <c r="D4069">
        <f>HYPERLINK("https://www.youtube.com/watch?v=ku-dQCyOSu0&amp;t=9s", "Go to time")</f>
        <v/>
      </c>
    </row>
    <row r="4070">
      <c r="A4070">
        <f>HYPERLINK("https://www.youtube.com/watch?v=HKYAXF4ww3E", "Video")</f>
        <v/>
      </c>
      <c r="B4070" t="inlineStr">
        <is>
          <t>1:34</t>
        </is>
      </c>
      <c r="C4070" t="inlineStr">
        <is>
          <t>driven by advances in miniaturization</t>
        </is>
      </c>
      <c r="D4070">
        <f>HYPERLINK("https://www.youtube.com/watch?v=HKYAXF4ww3E&amp;t=94s", "Go to time")</f>
        <v/>
      </c>
    </row>
    <row r="4071">
      <c r="A4071">
        <f>HYPERLINK("https://www.youtube.com/watch?v=eqPgAU1JRL4", "Video")</f>
        <v/>
      </c>
      <c r="B4071" t="inlineStr">
        <is>
          <t>5:00</t>
        </is>
      </c>
      <c r="C4071" t="inlineStr">
        <is>
          <t>of the detention process could
drive up prices even more.</t>
        </is>
      </c>
      <c r="D4071">
        <f>HYPERLINK("https://www.youtube.com/watch?v=eqPgAU1JRL4&amp;t=300s", "Go to time")</f>
        <v/>
      </c>
    </row>
    <row r="4072">
      <c r="A4072">
        <f>HYPERLINK("https://www.youtube.com/watch?v=eqPgAU1JRL4", "Video")</f>
        <v/>
      </c>
      <c r="B4072" t="inlineStr">
        <is>
          <t>5:04</t>
        </is>
      </c>
      <c r="C4072" t="inlineStr">
        <is>
          <t>- Contractors drive people in
between ICE detention centers</t>
        </is>
      </c>
      <c r="D4072">
        <f>HYPERLINK("https://www.youtube.com/watch?v=eqPgAU1JRL4&amp;t=304s", "Go to time")</f>
        <v/>
      </c>
    </row>
    <row r="4073">
      <c r="A4073">
        <f>HYPERLINK("https://www.youtube.com/watch?v=eqPgAU1JRL4", "Video")</f>
        <v/>
      </c>
      <c r="B4073" t="inlineStr">
        <is>
          <t>5:08</t>
        </is>
      </c>
      <c r="C4073" t="inlineStr">
        <is>
          <t>or drive the vans after
somebody's arrested.</t>
        </is>
      </c>
      <c r="D4073">
        <f>HYPERLINK("https://www.youtube.com/watch?v=eqPgAU1JRL4&amp;t=308s", "Go to time")</f>
        <v/>
      </c>
    </row>
    <row r="4074">
      <c r="A4074">
        <f>HYPERLINK("https://www.youtube.com/watch?v=ZcW1262mEMM", "Video")</f>
        <v/>
      </c>
      <c r="B4074" t="inlineStr">
        <is>
          <t>2:41</t>
        </is>
      </c>
      <c r="C4074" t="inlineStr">
        <is>
          <t>- Basically they're alleging
that Nima drives the car</t>
        </is>
      </c>
      <c r="D4074">
        <f>HYPERLINK("https://www.youtube.com/watch?v=ZcW1262mEMM&amp;t=161s", "Go to time")</f>
        <v/>
      </c>
    </row>
    <row r="4075">
      <c r="A4075">
        <f>HYPERLINK("https://www.youtube.com/watch?v=Oi5gmtrgEPE", "Video")</f>
        <v/>
      </c>
      <c r="B4075" t="inlineStr">
        <is>
          <t>1:48</t>
        </is>
      </c>
      <c r="C4075" t="inlineStr">
        <is>
          <t>five years or so has driven down cost of</t>
        </is>
      </c>
      <c r="D4075">
        <f>HYPERLINK("https://www.youtube.com/watch?v=Oi5gmtrgEPE&amp;t=108s", "Go to time")</f>
        <v/>
      </c>
    </row>
    <row r="4076">
      <c r="A4076">
        <f>HYPERLINK("https://www.youtube.com/watch?v=aRwJEiI1T2M", "Video")</f>
        <v/>
      </c>
      <c r="B4076" t="inlineStr">
        <is>
          <t>0:34</t>
        </is>
      </c>
      <c r="C4076" t="inlineStr">
        <is>
          <t>I hate the idea of someone
erasing my hard drives</t>
        </is>
      </c>
      <c r="D4076">
        <f>HYPERLINK("https://www.youtube.com/watch?v=aRwJEiI1T2M&amp;t=34s", "Go to time")</f>
        <v/>
      </c>
    </row>
    <row r="4077">
      <c r="A4077">
        <f>HYPERLINK("https://www.youtube.com/watch?v=aRwJEiI1T2M", "Video")</f>
        <v/>
      </c>
      <c r="B4077" t="inlineStr">
        <is>
          <t>4:55</t>
        </is>
      </c>
      <c r="C4077" t="inlineStr">
        <is>
          <t>Plus she's organized her
important files on hard drives.</t>
        </is>
      </c>
      <c r="D4077">
        <f>HYPERLINK("https://www.youtube.com/watch?v=aRwJEiI1T2M&amp;t=295s", "Go to time")</f>
        <v/>
      </c>
    </row>
    <row r="4078">
      <c r="A4078">
        <f>HYPERLINK("https://www.youtube.com/watch?v=WHZxTHY4YGQ", "Video")</f>
        <v/>
      </c>
      <c r="B4078" t="inlineStr">
        <is>
          <t>1:15</t>
        </is>
      </c>
      <c r="C4078" t="inlineStr">
        <is>
          <t>local regulation over driver pace this</t>
        </is>
      </c>
      <c r="D4078">
        <f>HYPERLINK("https://www.youtube.com/watch?v=WHZxTHY4YGQ&amp;t=75s", "Go to time")</f>
        <v/>
      </c>
    </row>
    <row r="4079">
      <c r="A4079">
        <f>HYPERLINK("https://www.youtube.com/watch?v=WHZxTHY4YGQ", "Video")</f>
        <v/>
      </c>
      <c r="B4079" t="inlineStr">
        <is>
          <t>1:33</t>
        </is>
      </c>
      <c r="C4079" t="inlineStr">
        <is>
          <t>to pay guaranteed rates to drivers the</t>
        </is>
      </c>
      <c r="D4079">
        <f>HYPERLINK("https://www.youtube.com/watch?v=WHZxTHY4YGQ&amp;t=93s", "Go to time")</f>
        <v/>
      </c>
    </row>
    <row r="4080">
      <c r="A4080">
        <f>HYPERLINK("https://www.youtube.com/watch?v=i3s74UF0gL8", "Video")</f>
        <v/>
      </c>
      <c r="B4080" t="inlineStr">
        <is>
          <t>5:00</t>
        </is>
      </c>
      <c r="C4080" t="inlineStr">
        <is>
          <t>and the technology that drives them,</t>
        </is>
      </c>
      <c r="D4080">
        <f>HYPERLINK("https://www.youtube.com/watch?v=i3s74UF0gL8&amp;t=300s", "Go to time")</f>
        <v/>
      </c>
    </row>
    <row r="4081">
      <c r="A4081">
        <f>HYPERLINK("https://www.youtube.com/watch?v=AXQBRCbKPc8", "Video")</f>
        <v/>
      </c>
      <c r="B4081" t="inlineStr">
        <is>
          <t>1:22</t>
        </is>
      </c>
      <c r="C4081" t="inlineStr">
        <is>
          <t>a huge Drive they're asking for two</t>
        </is>
      </c>
      <c r="D4081">
        <f>HYPERLINK("https://www.youtube.com/watch?v=AXQBRCbKPc8&amp;t=82s", "Go to time")</f>
        <v/>
      </c>
    </row>
    <row r="4082">
      <c r="A4082">
        <f>HYPERLINK("https://www.youtube.com/watch?v=DXSmHGW0Q8o", "Video")</f>
        <v/>
      </c>
      <c r="B4082" t="inlineStr">
        <is>
          <t>4:32</t>
        </is>
      </c>
      <c r="C4082" t="inlineStr">
        <is>
          <t>driven by the business Community all</t>
        </is>
      </c>
      <c r="D4082">
        <f>HYPERLINK("https://www.youtube.com/watch?v=DXSmHGW0Q8o&amp;t=272s", "Go to time")</f>
        <v/>
      </c>
    </row>
    <row r="4083">
      <c r="A4083">
        <f>HYPERLINK("https://www.youtube.com/watch?v=_0Emoy54R7Y", "Video")</f>
        <v/>
      </c>
      <c r="B4083" t="inlineStr">
        <is>
          <t>5:17</t>
        </is>
      </c>
      <c r="C4083" t="inlineStr">
        <is>
          <t>but ultimately what probably
drives housing prices</t>
        </is>
      </c>
      <c r="D4083">
        <f>HYPERLINK("https://www.youtube.com/watch?v=_0Emoy54R7Y&amp;t=317s", "Go to time")</f>
        <v/>
      </c>
    </row>
    <row r="4084">
      <c r="A4084">
        <f>HYPERLINK("https://www.youtube.com/watch?v=3cfP4j6BYGo", "Video")</f>
        <v/>
      </c>
      <c r="B4084" t="inlineStr">
        <is>
          <t>1:24</t>
        </is>
      </c>
      <c r="C4084" t="inlineStr">
        <is>
          <t>during the inflation-driven recession of</t>
        </is>
      </c>
      <c r="D4084">
        <f>HYPERLINK("https://www.youtube.com/watch?v=3cfP4j6BYGo&amp;t=84s", "Go to time")</f>
        <v/>
      </c>
    </row>
    <row r="4085">
      <c r="A4085">
        <f>HYPERLINK("https://www.youtube.com/watch?v=3cfP4j6BYGo", "Video")</f>
        <v/>
      </c>
      <c r="B4085" t="inlineStr">
        <is>
          <t>2:36</t>
        </is>
      </c>
      <c r="C4085" t="inlineStr">
        <is>
          <t>consumer-driven economy like the united</t>
        </is>
      </c>
      <c r="D4085">
        <f>HYPERLINK("https://www.youtube.com/watch?v=3cfP4j6BYGo&amp;t=156s", "Go to time")</f>
        <v/>
      </c>
    </row>
    <row r="4086">
      <c r="A4086">
        <f>HYPERLINK("https://www.youtube.com/watch?v=A_X8W2iX6FE", "Video")</f>
        <v/>
      </c>
      <c r="B4086" t="inlineStr">
        <is>
          <t>4:12</t>
        </is>
      </c>
      <c r="C4086" t="inlineStr">
        <is>
          <t>like a racing drivers you know they are</t>
        </is>
      </c>
      <c r="D4086">
        <f>HYPERLINK("https://www.youtube.com/watch?v=A_X8W2iX6FE&amp;t=252s", "Go to time")</f>
        <v/>
      </c>
    </row>
    <row r="4087">
      <c r="A4087">
        <f>HYPERLINK("https://www.youtube.com/watch?v=aQmsL454j-s", "Video")</f>
        <v/>
      </c>
      <c r="B4087" t="inlineStr">
        <is>
          <t>1:27</t>
        </is>
      </c>
      <c r="C4087" t="inlineStr">
        <is>
          <t>That meant, a flight, a drive
to stay at a hotel nearby,</t>
        </is>
      </c>
      <c r="D4087">
        <f>HYPERLINK("https://www.youtube.com/watch?v=aQmsL454j-s&amp;t=87s", "Go to time")</f>
        <v/>
      </c>
    </row>
    <row r="4088">
      <c r="A4088">
        <f>HYPERLINK("https://www.youtube.com/watch?v=aQmsL454j-s", "Video")</f>
        <v/>
      </c>
      <c r="B4088" t="inlineStr">
        <is>
          <t>1:30</t>
        </is>
      </c>
      <c r="C4088" t="inlineStr">
        <is>
          <t>and then another drive to Hell.</t>
        </is>
      </c>
      <c r="D4088">
        <f>HYPERLINK("https://www.youtube.com/watch?v=aQmsL454j-s&amp;t=90s", "Go to time")</f>
        <v/>
      </c>
    </row>
    <row r="4089">
      <c r="A4089">
        <f>HYPERLINK("https://www.youtube.com/watch?v=T1jqi0_0Zf4", "Video")</f>
        <v/>
      </c>
      <c r="B4089" t="inlineStr">
        <is>
          <t>2:57</t>
        </is>
      </c>
      <c r="C4089" t="inlineStr">
        <is>
          <t>snow off somebody's driveway well the</t>
        </is>
      </c>
      <c r="D4089">
        <f>HYPERLINK("https://www.youtube.com/watch?v=T1jqi0_0Zf4&amp;t=177s", "Go to time")</f>
        <v/>
      </c>
    </row>
    <row r="4090">
      <c r="A4090">
        <f>HYPERLINK("https://www.youtube.com/watch?v=T1jqi0_0Zf4", "Video")</f>
        <v/>
      </c>
      <c r="B4090" t="inlineStr">
        <is>
          <t>3:00</t>
        </is>
      </c>
      <c r="C4090" t="inlineStr">
        <is>
          <t>driveways to plow this year so may he</t>
        </is>
      </c>
      <c r="D4090">
        <f>HYPERLINK("https://www.youtube.com/watch?v=T1jqi0_0Zf4&amp;t=180s", "Go to time")</f>
        <v/>
      </c>
    </row>
    <row r="4091">
      <c r="A4091">
        <f>HYPERLINK("https://www.youtube.com/watch?v=10HXQhTwHXo", "Video")</f>
        <v/>
      </c>
      <c r="B4091" t="inlineStr">
        <is>
          <t>0:58</t>
        </is>
      </c>
      <c r="C4091" t="inlineStr">
        <is>
          <t>is the main driver behind the initiative</t>
        </is>
      </c>
      <c r="D4091">
        <f>HYPERLINK("https://www.youtube.com/watch?v=10HXQhTwHXo&amp;t=58s", "Go to time")</f>
        <v/>
      </c>
    </row>
    <row r="4092">
      <c r="A4092">
        <f>HYPERLINK("https://www.youtube.com/watch?v=P21Eh1rPuhY", "Video")</f>
        <v/>
      </c>
      <c r="B4092" t="inlineStr">
        <is>
          <t>0:48</t>
        </is>
      </c>
      <c r="C4092" t="inlineStr">
        <is>
          <t>ESPN the shift has been driven by the</t>
        </is>
      </c>
      <c r="D4092">
        <f>HYPERLINK("https://www.youtube.com/watch?v=P21Eh1rPuhY&amp;t=48s", "Go to time")</f>
        <v/>
      </c>
    </row>
    <row r="4093">
      <c r="A4093">
        <f>HYPERLINK("https://www.youtube.com/watch?v=IjIVIQleTso", "Video")</f>
        <v/>
      </c>
      <c r="B4093" t="inlineStr">
        <is>
          <t>3:12</t>
        </is>
      </c>
      <c r="C4093" t="inlineStr">
        <is>
          <t>would drive him absolutely crazy we</t>
        </is>
      </c>
      <c r="D4093">
        <f>HYPERLINK("https://www.youtube.com/watch?v=IjIVIQleTso&amp;t=192s", "Go to time")</f>
        <v/>
      </c>
    </row>
    <row r="4094">
      <c r="A4094">
        <f>HYPERLINK("https://www.youtube.com/watch?v=Tg5_DjW6_p0", "Video")</f>
        <v/>
      </c>
      <c r="B4094" t="inlineStr">
        <is>
          <t>28:02</t>
        </is>
      </c>
      <c r="C4094" t="inlineStr">
        <is>
          <t>million dollar Tech driven redesign this</t>
        </is>
      </c>
      <c r="D4094">
        <f>HYPERLINK("https://www.youtube.com/watch?v=Tg5_DjW6_p0&amp;t=1682s", "Go to time")</f>
        <v/>
      </c>
    </row>
    <row r="4095">
      <c r="A4095">
        <f>HYPERLINK("https://www.youtube.com/watch?v=DtrGMsGsZiU", "Video")</f>
        <v/>
      </c>
      <c r="B4095" t="inlineStr">
        <is>
          <t>4:02</t>
        </is>
      </c>
      <c r="C4095" t="inlineStr">
        <is>
          <t>and drive vehicles off.</t>
        </is>
      </c>
      <c r="D4095">
        <f>HYPERLINK("https://www.youtube.com/watch?v=DtrGMsGsZiU&amp;t=242s", "Go to time")</f>
        <v/>
      </c>
    </row>
    <row r="4096">
      <c r="A4096">
        <f>HYPERLINK("https://www.youtube.com/watch?v=9XqyCOBKb8I", "Video")</f>
        <v/>
      </c>
      <c r="B4096" t="inlineStr">
        <is>
          <t>0:04</t>
        </is>
      </c>
      <c r="C4096" t="inlineStr">
        <is>
          <t>Acquisitions to drive earnings his</t>
        </is>
      </c>
      <c r="D4096">
        <f>HYPERLINK("https://www.youtube.com/watch?v=9XqyCOBKb8I&amp;t=4s", "Go to time")</f>
        <v/>
      </c>
    </row>
    <row r="4097">
      <c r="A4097">
        <f>HYPERLINK("https://www.youtube.com/watch?v=9XqyCOBKb8I", "Video")</f>
        <v/>
      </c>
      <c r="B4097" t="inlineStr">
        <is>
          <t>0:43</t>
        </is>
      </c>
      <c r="C4097" t="inlineStr">
        <is>
          <t>driven the company's shares down about</t>
        </is>
      </c>
      <c r="D4097">
        <f>HYPERLINK("https://www.youtube.com/watch?v=9XqyCOBKb8I&amp;t=43s", "Go to time")</f>
        <v/>
      </c>
    </row>
    <row r="4098">
      <c r="A4098">
        <f>HYPERLINK("https://www.youtube.com/watch?v=uS0G5ZogNwM", "Video")</f>
        <v/>
      </c>
      <c r="B4098" t="inlineStr">
        <is>
          <t>0:28</t>
        </is>
      </c>
      <c r="C4098" t="inlineStr">
        <is>
          <t>discounted rides and offered drivers big</t>
        </is>
      </c>
      <c r="D4098">
        <f>HYPERLINK("https://www.youtube.com/watch?v=uS0G5ZogNwM&amp;t=28s", "Go to time")</f>
        <v/>
      </c>
    </row>
    <row r="4099">
      <c r="A4099">
        <f>HYPERLINK("https://www.youtube.com/watch?v=eGLdfIfLLWc", "Video")</f>
        <v/>
      </c>
      <c r="B4099" t="inlineStr">
        <is>
          <t>1:01</t>
        </is>
      </c>
      <c r="C4099" t="inlineStr">
        <is>
          <t>Next is the task of hooking
that motor up to the drivetrain</t>
        </is>
      </c>
      <c r="D4099">
        <f>HYPERLINK("https://www.youtube.com/watch?v=eGLdfIfLLWc&amp;t=61s", "Go to time")</f>
        <v/>
      </c>
    </row>
    <row r="4100">
      <c r="A4100">
        <f>HYPERLINK("https://www.youtube.com/watch?v=eGLdfIfLLWc", "Video")</f>
        <v/>
      </c>
      <c r="B4100" t="inlineStr">
        <is>
          <t>1:08</t>
        </is>
      </c>
      <c r="C4100" t="inlineStr">
        <is>
          <t>up the new drivetrain to the
controls, or in Robert's case,</t>
        </is>
      </c>
      <c r="D4100">
        <f>HYPERLINK("https://www.youtube.com/watch?v=eGLdfIfLLWc&amp;t=68s", "Go to time")</f>
        <v/>
      </c>
    </row>
    <row r="4101">
      <c r="A4101">
        <f>HYPERLINK("https://www.youtube.com/watch?v=eGLdfIfLLWc", "Video")</f>
        <v/>
      </c>
      <c r="B4101" t="inlineStr">
        <is>
          <t>3:51</t>
        </is>
      </c>
      <c r="C4101" t="inlineStr">
        <is>
          <t>trying to drive costs down.</t>
        </is>
      </c>
      <c r="D4101">
        <f>HYPERLINK("https://www.youtube.com/watch?v=eGLdfIfLLWc&amp;t=231s", "Go to time")</f>
        <v/>
      </c>
    </row>
    <row r="4102">
      <c r="A4102">
        <f>HYPERLINK("https://www.youtube.com/watch?v=_dS8HMiYuQ8", "Video")</f>
        <v/>
      </c>
      <c r="B4102" t="inlineStr">
        <is>
          <t>2:35</t>
        </is>
      </c>
      <c r="C4102" t="inlineStr">
        <is>
          <t>hyperdrive 5in one Hub Apple charges $80</t>
        </is>
      </c>
      <c r="D4102">
        <f>HYPERLINK("https://www.youtube.com/watch?v=_dS8HMiYuQ8&amp;t=155s", "Go to time")</f>
        <v/>
      </c>
    </row>
    <row r="4103">
      <c r="A4103">
        <f>HYPERLINK("https://www.youtube.com/watch?v=_ONi8ppkYgo", "Video")</f>
        <v/>
      </c>
      <c r="B4103" t="inlineStr">
        <is>
          <t>0:16</t>
        </is>
      </c>
      <c r="C4103" t="inlineStr">
        <is>
          <t>are holding many drivers back</t>
        </is>
      </c>
      <c r="D4103">
        <f>HYPERLINK("https://www.youtube.com/watch?v=_ONi8ppkYgo&amp;t=16s", "Go to time")</f>
        <v/>
      </c>
    </row>
    <row r="4104">
      <c r="A4104">
        <f>HYPERLINK("https://www.youtube.com/watch?v=_ONi8ppkYgo", "Video")</f>
        <v/>
      </c>
      <c r="B4104" t="inlineStr">
        <is>
          <t>1:19</t>
        </is>
      </c>
      <c r="C4104" t="inlineStr">
        <is>
          <t>Then there are drivers who
can't charge at home at all,</t>
        </is>
      </c>
      <c r="D4104">
        <f>HYPERLINK("https://www.youtube.com/watch?v=_ONi8ppkYgo&amp;t=79s", "Go to time")</f>
        <v/>
      </c>
    </row>
    <row r="4105">
      <c r="A4105">
        <f>HYPERLINK("https://www.youtube.com/watch?v=_ONi8ppkYgo", "Video")</f>
        <v/>
      </c>
      <c r="B4105" t="inlineStr">
        <is>
          <t>4:05</t>
        </is>
      </c>
      <c r="C4105" t="inlineStr">
        <is>
          <t>But for now, drivers might need</t>
        </is>
      </c>
      <c r="D4105">
        <f>HYPERLINK("https://www.youtube.com/watch?v=_ONi8ppkYgo&amp;t=245s", "Go to time")</f>
        <v/>
      </c>
    </row>
    <row r="4106">
      <c r="A4106">
        <f>HYPERLINK("https://www.youtube.com/watch?v=_ONi8ppkYgo", "Video")</f>
        <v/>
      </c>
      <c r="B4106" t="inlineStr">
        <is>
          <t>4:39</t>
        </is>
      </c>
      <c r="C4106" t="inlineStr">
        <is>
          <t>Tesla drivers and EVs using CHAdeMO</t>
        </is>
      </c>
      <c r="D4106">
        <f>HYPERLINK("https://www.youtube.com/watch?v=_ONi8ppkYgo&amp;t=279s", "Go to time")</f>
        <v/>
      </c>
    </row>
    <row r="4107">
      <c r="A4107">
        <f>HYPERLINK("https://www.youtube.com/watch?v=DcD19Ip9MSE", "Video")</f>
        <v/>
      </c>
      <c r="B4107" t="inlineStr">
        <is>
          <t>3:28</t>
        </is>
      </c>
      <c r="C4107" t="inlineStr">
        <is>
          <t>used in devices such as
hard drives and cameras.</t>
        </is>
      </c>
      <c r="D4107">
        <f>HYPERLINK("https://www.youtube.com/watch?v=DcD19Ip9MSE&amp;t=208s", "Go to time")</f>
        <v/>
      </c>
    </row>
    <row r="4108">
      <c r="A4108">
        <f>HYPERLINK("https://www.youtube.com/watch?v=TAIcPS9JNEU", "Video")</f>
        <v/>
      </c>
      <c r="B4108" t="inlineStr">
        <is>
          <t>0:46</t>
        </is>
      </c>
      <c r="C4108" t="inlineStr">
        <is>
          <t>pose a challenge to Uber drivers who</t>
        </is>
      </c>
      <c r="D4108">
        <f>HYPERLINK("https://www.youtube.com/watch?v=TAIcPS9JNEU&amp;t=46s", "Go to time")</f>
        <v/>
      </c>
    </row>
    <row r="4109">
      <c r="A4109">
        <f>HYPERLINK("https://www.youtube.com/watch?v=TAIcPS9JNEU", "Video")</f>
        <v/>
      </c>
      <c r="B4109" t="inlineStr">
        <is>
          <t>1:01</t>
        </is>
      </c>
      <c r="C4109" t="inlineStr">
        <is>
          <t>and then locate a driver near the</t>
        </is>
      </c>
      <c r="D4109">
        <f>HYPERLINK("https://www.youtube.com/watch?v=TAIcPS9JNEU&amp;t=61s", "Go to time")</f>
        <v/>
      </c>
    </row>
    <row r="4110">
      <c r="A4110">
        <f>HYPERLINK("https://www.youtube.com/watch?v=7AjA3Df6i6o", "Video")</f>
        <v/>
      </c>
      <c r="B4110" t="inlineStr">
        <is>
          <t>0:24</t>
        </is>
      </c>
      <c r="C4110" t="inlineStr">
        <is>
          <t>practice that YouTube says drives more</t>
        </is>
      </c>
      <c r="D4110">
        <f>HYPERLINK("https://www.youtube.com/watch?v=7AjA3Df6i6o&amp;t=24s", "Go to time")</f>
        <v/>
      </c>
    </row>
    <row r="4111">
      <c r="A4111">
        <f>HYPERLINK("https://www.youtube.com/watch?v=SFnCh3q4PjE", "Video")</f>
        <v/>
      </c>
      <c r="B4111" t="inlineStr">
        <is>
          <t>0:20</t>
        </is>
      </c>
      <c r="C4111" t="inlineStr">
        <is>
          <t>enables drivers to record high death</t>
        </is>
      </c>
      <c r="D4111">
        <f>HYPERLINK("https://www.youtube.com/watch?v=SFnCh3q4PjE&amp;t=20s", "Go to time")</f>
        <v/>
      </c>
    </row>
    <row r="4112">
      <c r="A4112">
        <f>HYPERLINK("https://www.youtube.com/watch?v=SFnCh3q4PjE", "Video")</f>
        <v/>
      </c>
      <c r="B4112" t="inlineStr">
        <is>
          <t>0:50</t>
        </is>
      </c>
      <c r="C4112" t="inlineStr">
        <is>
          <t>controls most drivers will try it just</t>
        </is>
      </c>
      <c r="D4112">
        <f>HYPERLINK("https://www.youtube.com/watch?v=SFnCh3q4PjE&amp;t=50s", "Go to time")</f>
        <v/>
      </c>
    </row>
    <row r="4113">
      <c r="A4113">
        <f>HYPERLINK("https://www.youtube.com/watch?v=SFnCh3q4PjE", "Video")</f>
        <v/>
      </c>
      <c r="B4113" t="inlineStr">
        <is>
          <t>0:59</t>
        </is>
      </c>
      <c r="C4113" t="inlineStr">
        <is>
          <t>hot on on this occasion drivers were</t>
        </is>
      </c>
      <c r="D4113">
        <f>HYPERLINK("https://www.youtube.com/watch?v=SFnCh3q4PjE&amp;t=59s", "Go to time")</f>
        <v/>
      </c>
    </row>
    <row r="4114">
      <c r="A4114">
        <f>HYPERLINK("https://www.youtube.com/watch?v=SFnCh3q4PjE", "Video")</f>
        <v/>
      </c>
      <c r="B4114" t="inlineStr">
        <is>
          <t>1:21</t>
        </is>
      </c>
      <c r="C4114" t="inlineStr">
        <is>
          <t>I was cooling down the overtaking driver</t>
        </is>
      </c>
      <c r="D4114">
        <f>HYPERLINK("https://www.youtube.com/watch?v=SFnCh3q4PjE&amp;t=81s", "Go to time")</f>
        <v/>
      </c>
    </row>
    <row r="4115">
      <c r="A4115">
        <f>HYPERLINK("https://www.youtube.com/watch?v=OFgFTD4xoEA", "Video")</f>
        <v/>
      </c>
      <c r="B4115" t="inlineStr">
        <is>
          <t>0:49</t>
        </is>
      </c>
      <c r="C4115" t="inlineStr">
        <is>
          <t>meaning they are major
drivers of ukraine's economy.</t>
        </is>
      </c>
      <c r="D4115">
        <f>HYPERLINK("https://www.youtube.com/watch?v=OFgFTD4xoEA&amp;t=49s", "Go to time")</f>
        <v/>
      </c>
    </row>
    <row r="4116">
      <c r="A4116">
        <f>HYPERLINK("https://www.youtube.com/watch?v=FcHbXibFZyk", "Video")</f>
        <v/>
      </c>
      <c r="B4116" t="inlineStr">
        <is>
          <t>2:20</t>
        </is>
      </c>
      <c r="C4116" t="inlineStr">
        <is>
          <t>in the driver seat to determine the</t>
        </is>
      </c>
      <c r="D4116">
        <f>HYPERLINK("https://www.youtube.com/watch?v=FcHbXibFZyk&amp;t=140s", "Go to time")</f>
        <v/>
      </c>
    </row>
    <row r="4117">
      <c r="A4117">
        <f>HYPERLINK("https://www.youtube.com/watch?v=yuZtbsSrdwo", "Video")</f>
        <v/>
      </c>
      <c r="B4117" t="inlineStr">
        <is>
          <t>6:21</t>
        </is>
      </c>
      <c r="C4117" t="inlineStr">
        <is>
          <t>in the driver's seat for the first time,</t>
        </is>
      </c>
      <c r="D4117">
        <f>HYPERLINK("https://www.youtube.com/watch?v=yuZtbsSrdwo&amp;t=381s", "Go to time")</f>
        <v/>
      </c>
    </row>
    <row r="4118">
      <c r="A4118">
        <f>HYPERLINK("https://www.youtube.com/watch?v=t4sHN-r6zYs", "Video")</f>
        <v/>
      </c>
      <c r="B4118" t="inlineStr">
        <is>
          <t>0:00</t>
        </is>
      </c>
      <c r="C4118" t="inlineStr">
        <is>
          <t>- And all of us will stop at
nothing to drive you happy.</t>
        </is>
      </c>
      <c r="D4118">
        <f>HYPERLINK("https://www.youtube.com/watch?v=t4sHN-r6zYs&amp;t=0s", "Go to time")</f>
        <v/>
      </c>
    </row>
    <row r="4119">
      <c r="A4119">
        <f>HYPERLINK("https://www.youtube.com/watch?v=t4sHN-r6zYs", "Video")</f>
        <v/>
      </c>
      <c r="B4119" t="inlineStr">
        <is>
          <t>0:03</t>
        </is>
      </c>
      <c r="C4119" t="inlineStr">
        <is>
          <t>- [Advertiser] We'll drive
you happy at Carvana.</t>
        </is>
      </c>
      <c r="D4119">
        <f>HYPERLINK("https://www.youtube.com/watch?v=t4sHN-r6zYs&amp;t=3s", "Go to time")</f>
        <v/>
      </c>
    </row>
    <row r="4120">
      <c r="A4120">
        <f>HYPERLINK("https://www.youtube.com/watch?v=t4sHN-r6zYs", "Video")</f>
        <v/>
      </c>
      <c r="B4120" t="inlineStr">
        <is>
          <t>0:46</t>
        </is>
      </c>
      <c r="C4120" t="inlineStr">
        <is>
          <t>And the things that had
once driven Carvana's growth</t>
        </is>
      </c>
      <c r="D4120">
        <f>HYPERLINK("https://www.youtube.com/watch?v=t4sHN-r6zYs&amp;t=46s", "Go to time")</f>
        <v/>
      </c>
    </row>
    <row r="4121">
      <c r="A4121">
        <f>HYPERLINK("https://www.youtube.com/watch?v=CNnhQ9YxC3M", "Video")</f>
        <v/>
      </c>
      <c r="B4121" t="inlineStr">
        <is>
          <t>1:10</t>
        </is>
      </c>
      <c r="C4121" t="inlineStr">
        <is>
          <t>million once home to race car driver</t>
        </is>
      </c>
      <c r="D4121">
        <f>HYPERLINK("https://www.youtube.com/watch?v=CNnhQ9YxC3M&amp;t=70s", "Go to time")</f>
        <v/>
      </c>
    </row>
    <row r="4122">
      <c r="A4122">
        <f>HYPERLINK("https://www.youtube.com/watch?v=je9At_CjubA", "Video")</f>
        <v/>
      </c>
      <c r="B4122" t="inlineStr">
        <is>
          <t>0:15</t>
        </is>
      </c>
      <c r="C4122" t="inlineStr">
        <is>
          <t>is in the perfect position as you drive.</t>
        </is>
      </c>
      <c r="D4122">
        <f>HYPERLINK("https://www.youtube.com/watch?v=je9At_CjubA&amp;t=15s", "Go to time")</f>
        <v/>
      </c>
    </row>
    <row r="4123">
      <c r="A4123">
        <f>HYPERLINK("https://www.youtube.com/watch?v=je9At_CjubA", "Video")</f>
        <v/>
      </c>
      <c r="B4123" t="inlineStr">
        <is>
          <t>1:12</t>
        </is>
      </c>
      <c r="C4123" t="inlineStr">
        <is>
          <t>to drive a car off the lot.</t>
        </is>
      </c>
      <c r="D4123">
        <f>HYPERLINK("https://www.youtube.com/watch?v=je9At_CjubA&amp;t=72s", "Go to time")</f>
        <v/>
      </c>
    </row>
    <row r="4124">
      <c r="A4124">
        <f>HYPERLINK("https://www.youtube.com/watch?v=je9At_CjubA", "Video")</f>
        <v/>
      </c>
      <c r="B4124" t="inlineStr">
        <is>
          <t>5:17</t>
        </is>
      </c>
      <c r="C4124" t="inlineStr">
        <is>
          <t>Usually, Americans wanna
drive off in a car that day</t>
        </is>
      </c>
      <c r="D4124">
        <f>HYPERLINK("https://www.youtube.com/watch?v=je9At_CjubA&amp;t=317s", "Go to time")</f>
        <v/>
      </c>
    </row>
    <row r="4125">
      <c r="A4125">
        <f>HYPERLINK("https://www.youtube.com/watch?v=IZbGqxnR1sE", "Video")</f>
        <v/>
      </c>
      <c r="B4125" t="inlineStr">
        <is>
          <t>0:18</t>
        </is>
      </c>
      <c r="C4125" t="inlineStr">
        <is>
          <t>Less than a decade old Athletic has driven</t>
        </is>
      </c>
      <c r="D4125">
        <f>HYPERLINK("https://www.youtube.com/watch?v=IZbGqxnR1sE&amp;t=18s", "Go to time")</f>
        <v/>
      </c>
    </row>
    <row r="4126">
      <c r="A4126">
        <f>HYPERLINK("https://www.youtube.com/watch?v=pJ9y0WSp_XU", "Video")</f>
        <v/>
      </c>
      <c r="B4126" t="inlineStr">
        <is>
          <t>0:58</t>
        </is>
      </c>
      <c r="C4126" t="inlineStr">
        <is>
          <t>drive to</t>
        </is>
      </c>
      <c r="D4126">
        <f>HYPERLINK("https://www.youtube.com/watch?v=pJ9y0WSp_XU&amp;t=58s", "Go to time")</f>
        <v/>
      </c>
    </row>
    <row r="4127">
      <c r="A4127">
        <f>HYPERLINK("https://www.youtube.com/watch?v=JiqGzwvAW1c", "Video")</f>
        <v/>
      </c>
      <c r="B4127" t="inlineStr">
        <is>
          <t>1:01</t>
        </is>
      </c>
      <c r="C4127" t="inlineStr">
        <is>
          <t>- Tourism is our major economic driver.</t>
        </is>
      </c>
      <c r="D4127">
        <f>HYPERLINK("https://www.youtube.com/watch?v=JiqGzwvAW1c&amp;t=61s", "Go to time")</f>
        <v/>
      </c>
    </row>
    <row r="4128">
      <c r="A4128">
        <f>HYPERLINK("https://www.youtube.com/watch?v=m7my1lEZknc", "Video")</f>
        <v/>
      </c>
      <c r="B4128" t="inlineStr">
        <is>
          <t>0:32</t>
        </is>
      </c>
      <c r="C4128" t="inlineStr">
        <is>
          <t>houthis have been driven from Aiden in</t>
        </is>
      </c>
      <c r="D4128">
        <f>HYPERLINK("https://www.youtube.com/watch?v=m7my1lEZknc&amp;t=32s", "Go to time")</f>
        <v/>
      </c>
    </row>
    <row r="4129">
      <c r="A4129">
        <f>HYPERLINK("https://www.youtube.com/watch?v=nID105xcKuI", "Video")</f>
        <v/>
      </c>
      <c r="B4129" t="inlineStr">
        <is>
          <t>1:45</t>
        </is>
      </c>
      <c r="C4129" t="inlineStr">
        <is>
          <t>like doctors, lawyers, and Uber drivers.</t>
        </is>
      </c>
      <c r="D4129">
        <f>HYPERLINK("https://www.youtube.com/watch?v=nID105xcKuI&amp;t=105s", "Go to time")</f>
        <v/>
      </c>
    </row>
    <row r="4130">
      <c r="A4130">
        <f>HYPERLINK("https://www.youtube.com/watch?v=IsRZTmlbNE8", "Video")</f>
        <v/>
      </c>
      <c r="B4130" t="inlineStr">
        <is>
          <t>1:53</t>
        </is>
      </c>
      <c r="C4130" t="inlineStr">
        <is>
          <t>for test drive and show this is what we</t>
        </is>
      </c>
      <c r="D4130">
        <f>HYPERLINK("https://www.youtube.com/watch?v=IsRZTmlbNE8&amp;t=113s", "Go to time")</f>
        <v/>
      </c>
    </row>
    <row r="4131">
      <c r="A4131">
        <f>HYPERLINK("https://www.youtube.com/watch?v=GJxPOAktTk8", "Video")</f>
        <v/>
      </c>
      <c r="B4131" t="inlineStr">
        <is>
          <t>0:28</t>
        </is>
      </c>
      <c r="C4131" t="inlineStr">
        <is>
          <t>purpose is the works SD drive</t>
        </is>
      </c>
      <c r="D4131">
        <f>HYPERLINK("https://www.youtube.com/watch?v=GJxPOAktTk8&amp;t=28s", "Go to time")</f>
        <v/>
      </c>
    </row>
    <row r="4132">
      <c r="A4132">
        <f>HYPERLINK("https://www.youtube.com/watch?v=GJxPOAktTk8", "Video")</f>
        <v/>
      </c>
      <c r="B4132" t="inlineStr">
        <is>
          <t>0:30</t>
        </is>
      </c>
      <c r="C4132" t="inlineStr">
        <is>
          <t>this electric screwdriver has a rotating</t>
        </is>
      </c>
      <c r="D4132">
        <f>HYPERLINK("https://www.youtube.com/watch?v=GJxPOAktTk8&amp;t=30s", "Go to time")</f>
        <v/>
      </c>
    </row>
    <row r="4133">
      <c r="A4133">
        <f>HYPERLINK("https://www.youtube.com/watch?v=GJxPOAktTk8", "Video")</f>
        <v/>
      </c>
      <c r="B4133" t="inlineStr">
        <is>
          <t>0:49</t>
        </is>
      </c>
      <c r="C4133" t="inlineStr">
        <is>
          <t>driver which lets you alternate easily</t>
        </is>
      </c>
      <c r="D4133">
        <f>HYPERLINK("https://www.youtube.com/watch?v=GJxPOAktTk8&amp;t=49s", "Go to time")</f>
        <v/>
      </c>
    </row>
    <row r="4134">
      <c r="A4134">
        <f>HYPERLINK("https://www.youtube.com/watch?v=GJxPOAktTk8", "Video")</f>
        <v/>
      </c>
      <c r="B4134" t="inlineStr">
        <is>
          <t>0:53</t>
        </is>
      </c>
      <c r="C4134" t="inlineStr">
        <is>
          <t>SD driver but delivers more power and</t>
        </is>
      </c>
      <c r="D4134">
        <f>HYPERLINK("https://www.youtube.com/watch?v=GJxPOAktTk8&amp;t=53s", "Go to time")</f>
        <v/>
      </c>
    </row>
    <row r="4135">
      <c r="A4135">
        <f>HYPERLINK("https://www.youtube.com/watch?v=8RIL_jjadC8", "Video")</f>
        <v/>
      </c>
      <c r="B4135" t="inlineStr">
        <is>
          <t>0:58</t>
        </is>
      </c>
      <c r="C4135" t="inlineStr">
        <is>
          <t>creating simulators uh for driver safety</t>
        </is>
      </c>
      <c r="D4135">
        <f>HYPERLINK("https://www.youtube.com/watch?v=8RIL_jjadC8&amp;t=58s", "Go to time")</f>
        <v/>
      </c>
    </row>
    <row r="4136">
      <c r="A4136">
        <f>HYPERLINK("https://www.youtube.com/watch?v=8RIL_jjadC8", "Video")</f>
        <v/>
      </c>
      <c r="B4136" t="inlineStr">
        <is>
          <t>1:08</t>
        </is>
      </c>
      <c r="C4136" t="inlineStr">
        <is>
          <t>order to be able to increase driver and</t>
        </is>
      </c>
      <c r="D4136">
        <f>HYPERLINK("https://www.youtube.com/watch?v=8RIL_jjadC8&amp;t=68s", "Go to time")</f>
        <v/>
      </c>
    </row>
    <row r="4137">
      <c r="A4137">
        <f>HYPERLINK("https://www.youtube.com/watch?v=tGQQ8fyWJi4", "Video")</f>
        <v/>
      </c>
      <c r="B4137" t="inlineStr">
        <is>
          <t>5:09</t>
        </is>
      </c>
      <c r="C4137" t="inlineStr">
        <is>
          <t>could further drive down the costs</t>
        </is>
      </c>
      <c r="D4137">
        <f>HYPERLINK("https://www.youtube.com/watch?v=tGQQ8fyWJi4&amp;t=309s", "Go to time")</f>
        <v/>
      </c>
    </row>
    <row r="4138">
      <c r="A4138">
        <f>HYPERLINK("https://www.youtube.com/watch?v=mCkmZHFXOng", "Video")</f>
        <v/>
      </c>
      <c r="B4138" t="inlineStr">
        <is>
          <t>0:03</t>
        </is>
      </c>
      <c r="C4138" t="inlineStr">
        <is>
          <t>of electric cars that
can drive themselves,</t>
        </is>
      </c>
      <c r="D4138">
        <f>HYPERLINK("https://www.youtube.com/watch?v=mCkmZHFXOng&amp;t=3s", "Go to time")</f>
        <v/>
      </c>
    </row>
    <row r="4139">
      <c r="A4139">
        <f>HYPERLINK("https://www.youtube.com/watch?v=i9qMIoGDbL4", "Video")</f>
        <v/>
      </c>
      <c r="B4139" t="inlineStr">
        <is>
          <t>0:21</t>
        </is>
      </c>
      <c r="C4139" t="inlineStr">
        <is>
          <t>you grew up a train driver Jeb blue is</t>
        </is>
      </c>
      <c r="D4139">
        <f>HYPERLINK("https://www.youtube.com/watch?v=i9qMIoGDbL4&amp;t=21s", "Go to time")</f>
        <v/>
      </c>
    </row>
    <row r="4140">
      <c r="A4140">
        <f>HYPERLINK("https://www.youtube.com/watch?v=SRkrZxNs7HE", "Video")</f>
        <v/>
      </c>
      <c r="B4140" t="inlineStr">
        <is>
          <t>0:49</t>
        </is>
      </c>
      <c r="C4140" t="inlineStr">
        <is>
          <t>it yes your Uber driver will be there in</t>
        </is>
      </c>
      <c r="D4140">
        <f>HYPERLINK("https://www.youtube.com/watch?v=SRkrZxNs7HE&amp;t=49s", "Go to time")</f>
        <v/>
      </c>
    </row>
    <row r="4141">
      <c r="A4141">
        <f>HYPERLINK("https://www.youtube.com/watch?v=Iy5xLrF0APM", "Video")</f>
        <v/>
      </c>
      <c r="B4141" t="inlineStr">
        <is>
          <t>1:18</t>
        </is>
      </c>
      <c r="C4141" t="inlineStr">
        <is>
          <t>and a lot of the export surge was driven,</t>
        </is>
      </c>
      <c r="D4141">
        <f>HYPERLINK("https://www.youtube.com/watch?v=Iy5xLrF0APM&amp;t=78s", "Go to time")</f>
        <v/>
      </c>
    </row>
    <row r="4142">
      <c r="A4142">
        <f>HYPERLINK("https://www.youtube.com/watch?v=ib8y920UzsE", "Video")</f>
        <v/>
      </c>
      <c r="B4142" t="inlineStr">
        <is>
          <t>16:32</t>
        </is>
      </c>
      <c r="C4142" t="inlineStr">
        <is>
          <t>and apparently drives so fast that he</t>
        </is>
      </c>
      <c r="D4142">
        <f>HYPERLINK("https://www.youtube.com/watch?v=ib8y920UzsE&amp;t=992s", "Go to time")</f>
        <v/>
      </c>
    </row>
    <row r="4143">
      <c r="A4143">
        <f>HYPERLINK("https://www.youtube.com/watch?v=ZFo1hhOHDx8", "Video")</f>
        <v/>
      </c>
      <c r="B4143" t="inlineStr">
        <is>
          <t>3:18</t>
        </is>
      </c>
      <c r="C4143" t="inlineStr">
        <is>
          <t>are being driven not only by drought,</t>
        </is>
      </c>
      <c r="D4143">
        <f>HYPERLINK("https://www.youtube.com/watch?v=ZFo1hhOHDx8&amp;t=198s", "Go to time")</f>
        <v/>
      </c>
    </row>
    <row r="4144">
      <c r="A4144">
        <f>HYPERLINK("https://www.youtube.com/watch?v=G69BGAH34lg", "Video")</f>
        <v/>
      </c>
      <c r="B4144" t="inlineStr">
        <is>
          <t>0:00</t>
        </is>
      </c>
      <c r="C4144" t="inlineStr">
        <is>
          <t>- Class A CDL drivers,</t>
        </is>
      </c>
      <c r="D4144">
        <f>HYPERLINK("https://www.youtube.com/watch?v=G69BGAH34lg&amp;t=0s", "Go to time")</f>
        <v/>
      </c>
    </row>
    <row r="4145">
      <c r="A4145">
        <f>HYPERLINK("https://www.youtube.com/watch?v=G69BGAH34lg", "Video")</f>
        <v/>
      </c>
      <c r="B4145" t="inlineStr">
        <is>
          <t>0:20</t>
        </is>
      </c>
      <c r="C4145" t="inlineStr">
        <is>
          <t>the US trucking industry needs drivers,</t>
        </is>
      </c>
      <c r="D4145">
        <f>HYPERLINK("https://www.youtube.com/watch?v=G69BGAH34lg&amp;t=20s", "Go to time")</f>
        <v/>
      </c>
    </row>
    <row r="4146">
      <c r="A4146">
        <f>HYPERLINK("https://www.youtube.com/watch?v=G69BGAH34lg", "Video")</f>
        <v/>
      </c>
      <c r="B4146" t="inlineStr">
        <is>
          <t>0:24</t>
        </is>
      </c>
      <c r="C4146" t="inlineStr">
        <is>
          <t>- For truck drivers, demand is high.</t>
        </is>
      </c>
      <c r="D4146">
        <f>HYPERLINK("https://www.youtube.com/watch?v=G69BGAH34lg&amp;t=24s", "Go to time")</f>
        <v/>
      </c>
    </row>
    <row r="4147">
      <c r="A4147">
        <f>HYPERLINK("https://www.youtube.com/watch?v=G69BGAH34lg", "Video")</f>
        <v/>
      </c>
      <c r="B4147" t="inlineStr">
        <is>
          <t>0:41</t>
        </is>
      </c>
      <c r="C4147" t="inlineStr">
        <is>
          <t>show there is a shortage
of 80,000 truck drivers</t>
        </is>
      </c>
      <c r="D4147">
        <f>HYPERLINK("https://www.youtube.com/watch?v=G69BGAH34lg&amp;t=41s", "Go to time")</f>
        <v/>
      </c>
    </row>
    <row r="4148">
      <c r="A4148">
        <f>HYPERLINK("https://www.youtube.com/watch?v=G69BGAH34lg", "Video")</f>
        <v/>
      </c>
      <c r="B4148" t="inlineStr">
        <is>
          <t>1:05</t>
        </is>
      </c>
      <c r="C4148" t="inlineStr">
        <is>
          <t>and to ways that we are
attracting and retaining drivers.</t>
        </is>
      </c>
      <c r="D4148">
        <f>HYPERLINK("https://www.youtube.com/watch?v=G69BGAH34lg&amp;t=65s", "Go to time")</f>
        <v/>
      </c>
    </row>
    <row r="4149">
      <c r="A4149">
        <f>HYPERLINK("https://www.youtube.com/watch?v=G69BGAH34lg", "Video")</f>
        <v/>
      </c>
      <c r="B4149" t="inlineStr">
        <is>
          <t>1:15</t>
        </is>
      </c>
      <c r="C4149" t="inlineStr">
        <is>
          <t>to try to attract drivers.</t>
        </is>
      </c>
      <c r="D4149">
        <f>HYPERLINK("https://www.youtube.com/watch?v=G69BGAH34lg&amp;t=75s", "Go to time")</f>
        <v/>
      </c>
    </row>
    <row r="4150">
      <c r="A4150">
        <f>HYPERLINK("https://www.youtube.com/watch?v=G69BGAH34lg", "Video")</f>
        <v/>
      </c>
      <c r="B4150" t="inlineStr">
        <is>
          <t>1:29</t>
        </is>
      </c>
      <c r="C4150" t="inlineStr">
        <is>
          <t>for truck drivers in
the US earned in 2020.</t>
        </is>
      </c>
      <c r="D4150">
        <f>HYPERLINK("https://www.youtube.com/watch?v=G69BGAH34lg&amp;t=89s", "Go to time")</f>
        <v/>
      </c>
    </row>
    <row r="4151">
      <c r="A4151">
        <f>HYPERLINK("https://www.youtube.com/watch?v=G69BGAH34lg", "Video")</f>
        <v/>
      </c>
      <c r="B4151" t="inlineStr">
        <is>
          <t>1:34</t>
        </is>
      </c>
      <c r="C4151" t="inlineStr">
        <is>
          <t>for long haul truckload drivers</t>
        </is>
      </c>
      <c r="D4151">
        <f>HYPERLINK("https://www.youtube.com/watch?v=G69BGAH34lg&amp;t=94s", "Go to time")</f>
        <v/>
      </c>
    </row>
    <row r="4152">
      <c r="A4152">
        <f>HYPERLINK("https://www.youtube.com/watch?v=G69BGAH34lg", "Video")</f>
        <v/>
      </c>
      <c r="B4152" t="inlineStr">
        <is>
          <t>1:40</t>
        </is>
      </c>
      <c r="C4152" t="inlineStr">
        <is>
          <t>- It's always a little bit of
a challenge hiring drivers,</t>
        </is>
      </c>
      <c r="D4152">
        <f>HYPERLINK("https://www.youtube.com/watch?v=G69BGAH34lg&amp;t=100s", "Go to time")</f>
        <v/>
      </c>
    </row>
    <row r="4153">
      <c r="A4153">
        <f>HYPERLINK("https://www.youtube.com/watch?v=G69BGAH34lg", "Video")</f>
        <v/>
      </c>
      <c r="B4153" t="inlineStr">
        <is>
          <t>1:50</t>
        </is>
      </c>
      <c r="C4153" t="inlineStr">
        <is>
          <t>are offering to attract new
drivers, sign-on bonuses.</t>
        </is>
      </c>
      <c r="D4153">
        <f>HYPERLINK("https://www.youtube.com/watch?v=G69BGAH34lg&amp;t=110s", "Go to time")</f>
        <v/>
      </c>
    </row>
    <row r="4154">
      <c r="A4154">
        <f>HYPERLINK("https://www.youtube.com/watch?v=G69BGAH34lg", "Video")</f>
        <v/>
      </c>
      <c r="B4154" t="inlineStr">
        <is>
          <t>1:54</t>
        </is>
      </c>
      <c r="C4154" t="inlineStr">
        <is>
          <t>84% of truck driver jobs
on employment marketplace,</t>
        </is>
      </c>
      <c r="D4154">
        <f>HYPERLINK("https://www.youtube.com/watch?v=G69BGAH34lg&amp;t=114s", "Go to time")</f>
        <v/>
      </c>
    </row>
    <row r="4155">
      <c r="A4155">
        <f>HYPERLINK("https://www.youtube.com/watch?v=G69BGAH34lg", "Video")</f>
        <v/>
      </c>
      <c r="B4155" t="inlineStr">
        <is>
          <t>2:20</t>
        </is>
      </c>
      <c r="C4155" t="inlineStr">
        <is>
          <t>and enrollment numbers
at each driver academies</t>
        </is>
      </c>
      <c r="D4155">
        <f>HYPERLINK("https://www.youtube.com/watch?v=G69BGAH34lg&amp;t=140s", "Go to time")</f>
        <v/>
      </c>
    </row>
    <row r="4156">
      <c r="A4156">
        <f>HYPERLINK("https://www.youtube.com/watch?v=G69BGAH34lg", "Video")</f>
        <v/>
      </c>
      <c r="B4156" t="inlineStr">
        <is>
          <t>2:31</t>
        </is>
      </c>
      <c r="C4156" t="inlineStr">
        <is>
          <t>to meet the increased demand for drivers.</t>
        </is>
      </c>
      <c r="D4156">
        <f>HYPERLINK("https://www.youtube.com/watch?v=G69BGAH34lg&amp;t=151s", "Go to time")</f>
        <v/>
      </c>
    </row>
    <row r="4157">
      <c r="A4157">
        <f>HYPERLINK("https://www.youtube.com/watch?v=G69BGAH34lg", "Video")</f>
        <v/>
      </c>
      <c r="B4157" t="inlineStr">
        <is>
          <t>2:39</t>
        </is>
      </c>
      <c r="C4157" t="inlineStr">
        <is>
          <t>even as we think through
the driver dynamic,</t>
        </is>
      </c>
      <c r="D4157">
        <f>HYPERLINK("https://www.youtube.com/watch?v=G69BGAH34lg&amp;t=159s", "Go to time")</f>
        <v/>
      </c>
    </row>
    <row r="4158">
      <c r="A4158">
        <f>HYPERLINK("https://www.youtube.com/watch?v=G69BGAH34lg", "Video")</f>
        <v/>
      </c>
      <c r="B4158" t="inlineStr">
        <is>
          <t>2:42</t>
        </is>
      </c>
      <c r="C4158" t="inlineStr">
        <is>
          <t>the pandemic had impact
in the drivers sourcing.</t>
        </is>
      </c>
      <c r="D4158">
        <f>HYPERLINK("https://www.youtube.com/watch?v=G69BGAH34lg&amp;t=162s", "Go to time")</f>
        <v/>
      </c>
    </row>
    <row r="4159">
      <c r="A4159">
        <f>HYPERLINK("https://www.youtube.com/watch?v=G69BGAH34lg", "Video")</f>
        <v/>
      </c>
      <c r="B4159" t="inlineStr">
        <is>
          <t>2:58</t>
        </is>
      </c>
      <c r="C4159" t="inlineStr">
        <is>
          <t>but the driver shortage is not new.</t>
        </is>
      </c>
      <c r="D4159">
        <f>HYPERLINK("https://www.youtube.com/watch?v=G69BGAH34lg&amp;t=178s", "Go to time")</f>
        <v/>
      </c>
    </row>
    <row r="4160">
      <c r="A4160">
        <f>HYPERLINK("https://www.youtube.com/watch?v=G69BGAH34lg", "Video")</f>
        <v/>
      </c>
      <c r="B4160" t="inlineStr">
        <is>
          <t>3:03</t>
        </is>
      </c>
      <c r="C4160" t="inlineStr">
        <is>
          <t>there's been a driver shortage</t>
        </is>
      </c>
      <c r="D4160">
        <f>HYPERLINK("https://www.youtube.com/watch?v=G69BGAH34lg&amp;t=183s", "Go to time")</f>
        <v/>
      </c>
    </row>
    <row r="4161">
      <c r="A4161">
        <f>HYPERLINK("https://www.youtube.com/watch?v=G69BGAH34lg", "Video")</f>
        <v/>
      </c>
      <c r="B4161" t="inlineStr">
        <is>
          <t>3:23</t>
        </is>
      </c>
      <c r="C4161" t="inlineStr">
        <is>
          <t>and the average age of drivers is 47.</t>
        </is>
      </c>
      <c r="D4161">
        <f>HYPERLINK("https://www.youtube.com/watch?v=G69BGAH34lg&amp;t=203s", "Go to time")</f>
        <v/>
      </c>
    </row>
    <row r="4162">
      <c r="A4162">
        <f>HYPERLINK("https://www.youtube.com/watch?v=G69BGAH34lg", "Video")</f>
        <v/>
      </c>
      <c r="B4162" t="inlineStr">
        <is>
          <t>3:29</t>
        </is>
      </c>
      <c r="C4162" t="inlineStr">
        <is>
          <t>women account for less than
8% of truck drivers in the US,</t>
        </is>
      </c>
      <c r="D4162">
        <f>HYPERLINK("https://www.youtube.com/watch?v=G69BGAH34lg&amp;t=209s", "Go to time")</f>
        <v/>
      </c>
    </row>
    <row r="4163">
      <c r="A4163">
        <f>HYPERLINK("https://www.youtube.com/watch?v=G69BGAH34lg", "Video")</f>
        <v/>
      </c>
      <c r="B4163" t="inlineStr">
        <is>
          <t>3:46</t>
        </is>
      </c>
      <c r="C4163" t="inlineStr">
        <is>
          <t>- From a driver sourcing perspective,</t>
        </is>
      </c>
      <c r="D4163">
        <f>HYPERLINK("https://www.youtube.com/watch?v=G69BGAH34lg&amp;t=226s", "Go to time")</f>
        <v/>
      </c>
    </row>
    <row r="4164">
      <c r="A4164">
        <f>HYPERLINK("https://www.youtube.com/watch?v=G69BGAH34lg", "Video")</f>
        <v/>
      </c>
      <c r="B4164" t="inlineStr">
        <is>
          <t>3:57</t>
        </is>
      </c>
      <c r="C4164" t="inlineStr">
        <is>
          <t>and an uptick in driver
training enrollment,</t>
        </is>
      </c>
      <c r="D4164">
        <f>HYPERLINK("https://www.youtube.com/watch?v=G69BGAH34lg&amp;t=237s", "Go to time")</f>
        <v/>
      </c>
    </row>
    <row r="4165">
      <c r="A4165">
        <f>HYPERLINK("https://www.youtube.com/watch?v=G69BGAH34lg", "Video")</f>
        <v/>
      </c>
      <c r="B4165" t="inlineStr">
        <is>
          <t>4:01</t>
        </is>
      </c>
      <c r="C4165" t="inlineStr">
        <is>
          <t>to remedying the truck driver shortage</t>
        </is>
      </c>
      <c r="D4165">
        <f>HYPERLINK("https://www.youtube.com/watch?v=G69BGAH34lg&amp;t=241s", "Go to time")</f>
        <v/>
      </c>
    </row>
    <row r="4166">
      <c r="A4166">
        <f>HYPERLINK("https://www.youtube.com/watch?v=7adNF1G0_Zs", "Video")</f>
        <v/>
      </c>
      <c r="B4166" t="inlineStr">
        <is>
          <t>1:06</t>
        </is>
      </c>
      <c r="C4166" t="inlineStr">
        <is>
          <t>is in no small part driven in part by</t>
        </is>
      </c>
      <c r="D4166">
        <f>HYPERLINK("https://www.youtube.com/watch?v=7adNF1G0_Zs&amp;t=66s", "Go to time")</f>
        <v/>
      </c>
    </row>
    <row r="4167">
      <c r="A4167">
        <f>HYPERLINK("https://www.youtube.com/watch?v=zadFDkuksFw", "Video")</f>
        <v/>
      </c>
      <c r="B4167" t="inlineStr">
        <is>
          <t>5:05</t>
        </is>
      </c>
      <c r="C4167" t="inlineStr">
        <is>
          <t>that this really drives
Lebanon off a cliff.</t>
        </is>
      </c>
      <c r="D4167">
        <f>HYPERLINK("https://www.youtube.com/watch?v=zadFDkuksFw&amp;t=305s", "Go to time")</f>
        <v/>
      </c>
    </row>
    <row r="4168">
      <c r="A4168">
        <f>HYPERLINK("https://www.youtube.com/watch?v=2gQQZcqrjrA", "Video")</f>
        <v/>
      </c>
      <c r="B4168" t="inlineStr">
        <is>
          <t>2:43</t>
        </is>
      </c>
      <c r="C4168" t="inlineStr">
        <is>
          <t>about this global vaccination drive</t>
        </is>
      </c>
      <c r="D4168">
        <f>HYPERLINK("https://www.youtube.com/watch?v=2gQQZcqrjrA&amp;t=163s", "Go to time")</f>
        <v/>
      </c>
    </row>
    <row r="4169">
      <c r="A4169">
        <f>HYPERLINK("https://www.youtube.com/watch?v=AsjjdaLwsBQ", "Video")</f>
        <v/>
      </c>
      <c r="B4169" t="inlineStr">
        <is>
          <t>2:16</t>
        </is>
      </c>
      <c r="C4169" t="inlineStr">
        <is>
          <t>to higher gas prices, but
also finding truck drivers</t>
        </is>
      </c>
      <c r="D4169">
        <f>HYPERLINK("https://www.youtube.com/watch?v=AsjjdaLwsBQ&amp;t=136s", "Go to time")</f>
        <v/>
      </c>
    </row>
    <row r="4170">
      <c r="A4170">
        <f>HYPERLINK("https://www.youtube.com/watch?v=AsjjdaLwsBQ", "Video")</f>
        <v/>
      </c>
      <c r="B4170" t="inlineStr">
        <is>
          <t>3:20</t>
        </is>
      </c>
      <c r="C4170" t="inlineStr">
        <is>
          <t>really drive the cost of the product.</t>
        </is>
      </c>
      <c r="D4170">
        <f>HYPERLINK("https://www.youtube.com/watch?v=AsjjdaLwsBQ&amp;t=200s", "Go to time")</f>
        <v/>
      </c>
    </row>
    <row r="4171">
      <c r="A4171">
        <f>HYPERLINK("https://www.youtube.com/watch?v=kMciDCsKvaI", "Video")</f>
        <v/>
      </c>
      <c r="B4171" t="inlineStr">
        <is>
          <t>1:44</t>
        </is>
      </c>
      <c r="C4171" t="inlineStr">
        <is>
          <t>drive his agenda to manage uh his</t>
        </is>
      </c>
      <c r="D4171">
        <f>HYPERLINK("https://www.youtube.com/watch?v=kMciDCsKvaI&amp;t=104s", "Go to time")</f>
        <v/>
      </c>
    </row>
    <row r="4172">
      <c r="A4172">
        <f>HYPERLINK("https://www.youtube.com/watch?v=WXKAUjjo0HQ", "Video")</f>
        <v/>
      </c>
      <c r="B4172" t="inlineStr">
        <is>
          <t>1:04</t>
        </is>
      </c>
      <c r="C4172" t="inlineStr">
        <is>
          <t>cash payments to recruit new drivers and</t>
        </is>
      </c>
      <c r="D4172">
        <f>HYPERLINK("https://www.youtube.com/watch?v=WXKAUjjo0HQ&amp;t=64s", "Go to time")</f>
        <v/>
      </c>
    </row>
    <row r="4173">
      <c r="A4173">
        <f>HYPERLINK("https://www.youtube.com/watch?v=Wrzmeb_J1ew", "Video")</f>
        <v/>
      </c>
      <c r="B4173" t="inlineStr">
        <is>
          <t>0:11</t>
        </is>
      </c>
      <c r="C4173" t="inlineStr">
        <is>
          <t>type of tiny hard drive lets you copy</t>
        </is>
      </c>
      <c r="D4173">
        <f>HYPERLINK("https://www.youtube.com/watch?v=Wrzmeb_J1ew&amp;t=11s", "Go to time")</f>
        <v/>
      </c>
    </row>
    <row r="4174">
      <c r="A4174">
        <f>HYPERLINK("https://www.youtube.com/watch?v=Wrzmeb_J1ew", "Video")</f>
        <v/>
      </c>
      <c r="B4174" t="inlineStr">
        <is>
          <t>0:20</t>
        </is>
      </c>
      <c r="C4174" t="inlineStr">
        <is>
          <t>works you download an app plug the drive</t>
        </is>
      </c>
      <c r="D4174">
        <f>HYPERLINK("https://www.youtube.com/watch?v=Wrzmeb_J1ew&amp;t=20s", "Go to time")</f>
        <v/>
      </c>
    </row>
    <row r="4175">
      <c r="A4175">
        <f>HYPERLINK("https://www.youtube.com/watch?v=Wrzmeb_J1ew", "Video")</f>
        <v/>
      </c>
      <c r="B4175" t="inlineStr">
        <is>
          <t>1:04</t>
        </is>
      </c>
      <c r="C4175" t="inlineStr">
        <is>
          <t>copied these drives are an easy way to</t>
        </is>
      </c>
      <c r="D4175">
        <f>HYPERLINK("https://www.youtube.com/watch?v=Wrzmeb_J1ew&amp;t=64s", "Go to time")</f>
        <v/>
      </c>
    </row>
    <row r="4176">
      <c r="A4176">
        <f>HYPERLINK("https://www.youtube.com/watch?v=v_Lu-BtuxLk", "Video")</f>
        <v/>
      </c>
      <c r="B4176" t="inlineStr">
        <is>
          <t>0:31</t>
        </is>
      </c>
      <c r="C4176" t="inlineStr">
        <is>
          <t>out there operating driverless vehicles</t>
        </is>
      </c>
      <c r="D4176">
        <f>HYPERLINK("https://www.youtube.com/watch?v=v_Lu-BtuxLk&amp;t=31s", "Go to time")</f>
        <v/>
      </c>
    </row>
    <row r="4177">
      <c r="A4177">
        <f>HYPERLINK("https://www.youtube.com/watch?v=v_Lu-BtuxLk", "Video")</f>
        <v/>
      </c>
      <c r="B4177" t="inlineStr">
        <is>
          <t>0:55</t>
        </is>
      </c>
      <c r="C4177" t="inlineStr">
        <is>
          <t>that are fundamental to
how we currently drive.</t>
        </is>
      </c>
      <c r="D4177">
        <f>HYPERLINK("https://www.youtube.com/watch?v=v_Lu-BtuxLk&amp;t=55s", "Go to time")</f>
        <v/>
      </c>
    </row>
    <row r="4178">
      <c r="A4178">
        <f>HYPERLINK("https://www.youtube.com/watch?v=v_Lu-BtuxLk", "Video")</f>
        <v/>
      </c>
      <c r="B4178" t="inlineStr">
        <is>
          <t>1:29</t>
        </is>
      </c>
      <c r="C4178" t="inlineStr">
        <is>
          <t>It has driven more autonomous miles</t>
        </is>
      </c>
      <c r="D4178">
        <f>HYPERLINK("https://www.youtube.com/watch?v=v_Lu-BtuxLk&amp;t=89s", "Go to time")</f>
        <v/>
      </c>
    </row>
    <row r="4179">
      <c r="A4179">
        <f>HYPERLINK("https://www.youtube.com/watch?v=v_Lu-BtuxLk", "Video")</f>
        <v/>
      </c>
      <c r="B4179" t="inlineStr">
        <is>
          <t>2:45</t>
        </is>
      </c>
      <c r="C4179" t="inlineStr">
        <is>
          <t>of autonomous driving
means that the driver needs</t>
        </is>
      </c>
      <c r="D4179">
        <f>HYPERLINK("https://www.youtube.com/watch?v=v_Lu-BtuxLk&amp;t=165s", "Go to time")</f>
        <v/>
      </c>
    </row>
    <row r="4180">
      <c r="A4180">
        <f>HYPERLINK("https://www.youtube.com/watch?v=v_Lu-BtuxLk", "Video")</f>
        <v/>
      </c>
      <c r="B4180" t="inlineStr">
        <is>
          <t>3:39</t>
        </is>
      </c>
      <c r="C4180" t="inlineStr">
        <is>
          <t>After all, isn't driverless technology</t>
        </is>
      </c>
      <c r="D4180">
        <f>HYPERLINK("https://www.youtube.com/watch?v=v_Lu-BtuxLk&amp;t=219s", "Go to time")</f>
        <v/>
      </c>
    </row>
    <row r="4181">
      <c r="A4181">
        <f>HYPERLINK("https://www.youtube.com/watch?v=v_Lu-BtuxLk", "Video")</f>
        <v/>
      </c>
      <c r="B4181" t="inlineStr">
        <is>
          <t>3:46</t>
        </is>
      </c>
      <c r="C4181" t="inlineStr">
        <is>
          <t>they're going to be vehicles driven</t>
        </is>
      </c>
      <c r="D4181">
        <f>HYPERLINK("https://www.youtube.com/watch?v=v_Lu-BtuxLk&amp;t=226s", "Go to time")</f>
        <v/>
      </c>
    </row>
    <row r="4182">
      <c r="A4182">
        <f>HYPERLINK("https://www.youtube.com/watch?v=v_Lu-BtuxLk", "Video")</f>
        <v/>
      </c>
      <c r="B4182" t="inlineStr">
        <is>
          <t>4:04</t>
        </is>
      </c>
      <c r="C4182" t="inlineStr">
        <is>
          <t>while the car is in driverless mode,</t>
        </is>
      </c>
      <c r="D4182">
        <f>HYPERLINK("https://www.youtube.com/watch?v=v_Lu-BtuxLk&amp;t=244s", "Go to time")</f>
        <v/>
      </c>
    </row>
    <row r="4183">
      <c r="A4183">
        <f>HYPERLINK("https://www.youtube.com/watch?v=v_Lu-BtuxLk", "Video")</f>
        <v/>
      </c>
      <c r="B4183" t="inlineStr">
        <is>
          <t>4:06</t>
        </is>
      </c>
      <c r="C4183" t="inlineStr">
        <is>
          <t>but can reappear when
somebody wants to drive,</t>
        </is>
      </c>
      <c r="D4183">
        <f>HYPERLINK("https://www.youtube.com/watch?v=v_Lu-BtuxLk&amp;t=246s", "Go to time")</f>
        <v/>
      </c>
    </row>
    <row r="4184">
      <c r="A4184">
        <f>HYPERLINK("https://www.youtube.com/watch?v=v_Lu-BtuxLk", "Video")</f>
        <v/>
      </c>
      <c r="B4184" t="inlineStr">
        <is>
          <t>5:23</t>
        </is>
      </c>
      <c r="C4184" t="inlineStr">
        <is>
          <t>needs to be provided back to the driver.</t>
        </is>
      </c>
      <c r="D4184">
        <f>HYPERLINK("https://www.youtube.com/watch?v=v_Lu-BtuxLk&amp;t=323s", "Go to time")</f>
        <v/>
      </c>
    </row>
    <row r="4185">
      <c r="A4185">
        <f>HYPERLINK("https://www.youtube.com/watch?v=v_Lu-BtuxLk", "Video")</f>
        <v/>
      </c>
      <c r="B4185" t="inlineStr">
        <is>
          <t>6:23</t>
        </is>
      </c>
      <c r="C4185" t="inlineStr">
        <is>
          <t>while the car drives you from A to B.</t>
        </is>
      </c>
      <c r="D4185">
        <f>HYPERLINK("https://www.youtube.com/watch?v=v_Lu-BtuxLk&amp;t=383s", "Go to time")</f>
        <v/>
      </c>
    </row>
    <row r="4186">
      <c r="A4186">
        <f>HYPERLINK("https://www.youtube.com/watch?v=V-PZrOK4lDo", "Video")</f>
        <v/>
      </c>
      <c r="B4186" t="inlineStr">
        <is>
          <t>0:52</t>
        </is>
      </c>
      <c r="C4186" t="inlineStr">
        <is>
          <t>a 10-minute drive from downtown</t>
        </is>
      </c>
      <c r="D4186">
        <f>HYPERLINK("https://www.youtube.com/watch?v=V-PZrOK4lDo&amp;t=52s", "Go to time")</f>
        <v/>
      </c>
    </row>
    <row r="4187">
      <c r="A4187">
        <f>HYPERLINK("https://www.youtube.com/watch?v=VDQyFj-VL_8", "Video")</f>
        <v/>
      </c>
      <c r="B4187" t="inlineStr">
        <is>
          <t>0:44</t>
        </is>
      </c>
      <c r="C4187" t="inlineStr">
        <is>
          <t>drive smoking rates down in New York</t>
        </is>
      </c>
      <c r="D4187">
        <f>HYPERLINK("https://www.youtube.com/watch?v=VDQyFj-VL_8&amp;t=44s", "Go to time")</f>
        <v/>
      </c>
    </row>
    <row r="4188">
      <c r="A4188">
        <f>HYPERLINK("https://www.youtube.com/watch?v=Enk1rXIHT8Y", "Video")</f>
        <v/>
      </c>
      <c r="B4188" t="inlineStr">
        <is>
          <t>1:54</t>
        </is>
      </c>
      <c r="C4188" t="inlineStr">
        <is>
          <t>could drive new applications in medicine</t>
        </is>
      </c>
      <c r="D4188">
        <f>HYPERLINK("https://www.youtube.com/watch?v=Enk1rXIHT8Y&amp;t=114s", "Go to time")</f>
        <v/>
      </c>
    </row>
    <row r="4189">
      <c r="A4189">
        <f>HYPERLINK("https://www.youtube.com/watch?v=NMmNK0mLP0A", "Video")</f>
        <v/>
      </c>
      <c r="B4189" t="inlineStr">
        <is>
          <t>1:10</t>
        </is>
      </c>
      <c r="C4189" t="inlineStr">
        <is>
          <t>of us drive alone in our cars to work so</t>
        </is>
      </c>
      <c r="D4189">
        <f>HYPERLINK("https://www.youtube.com/watch?v=NMmNK0mLP0A&amp;t=70s", "Go to time")</f>
        <v/>
      </c>
    </row>
    <row r="4190">
      <c r="A4190">
        <f>HYPERLINK("https://www.youtube.com/watch?v=zpROwouRo_M", "Video")</f>
        <v/>
      </c>
      <c r="B4190" t="inlineStr">
        <is>
          <t>2:54</t>
        </is>
      </c>
      <c r="C4190" t="inlineStr">
        <is>
          <t>which helps drive up some of the prices.</t>
        </is>
      </c>
      <c r="D4190">
        <f>HYPERLINK("https://www.youtube.com/watch?v=zpROwouRo_M&amp;t=174s", "Go to time")</f>
        <v/>
      </c>
    </row>
    <row r="4191">
      <c r="A4191">
        <f>HYPERLINK("https://www.youtube.com/watch?v=z0C7rb9a4mk", "Video")</f>
        <v/>
      </c>
      <c r="B4191" t="inlineStr">
        <is>
          <t>0:19</t>
        </is>
      </c>
      <c r="C4191" t="inlineStr">
        <is>
          <t>drivers have to take about a
three to four-mile-long detour</t>
        </is>
      </c>
      <c r="D4191">
        <f>HYPERLINK("https://www.youtube.com/watch?v=z0C7rb9a4mk&amp;t=19s", "Go to time")</f>
        <v/>
      </c>
    </row>
    <row r="4192">
      <c r="A4192">
        <f>HYPERLINK("https://www.youtube.com/watch?v=z0C7rb9a4mk", "Video")</f>
        <v/>
      </c>
      <c r="B4192" t="inlineStr">
        <is>
          <t>0:39</t>
        </is>
      </c>
      <c r="C4192" t="inlineStr">
        <is>
          <t>for roughly 5.5 million
drivers every year,</t>
        </is>
      </c>
      <c r="D4192">
        <f>HYPERLINK("https://www.youtube.com/watch?v=z0C7rb9a4mk&amp;t=39s", "Go to time")</f>
        <v/>
      </c>
    </row>
    <row r="4193">
      <c r="A4193">
        <f>HYPERLINK("https://www.youtube.com/watch?v=z0C7rb9a4mk", "Video")</f>
        <v/>
      </c>
      <c r="B4193" t="inlineStr">
        <is>
          <t>1:06</t>
        </is>
      </c>
      <c r="C4193" t="inlineStr">
        <is>
          <t>- The simplest solution
for driver efficiency</t>
        </is>
      </c>
      <c r="D4193">
        <f>HYPERLINK("https://www.youtube.com/watch?v=z0C7rb9a4mk&amp;t=66s", "Go to time")</f>
        <v/>
      </c>
    </row>
    <row r="4194">
      <c r="A4194">
        <f>HYPERLINK("https://www.youtube.com/watch?v=z0C7rb9a4mk", "Video")</f>
        <v/>
      </c>
      <c r="B4194" t="inlineStr">
        <is>
          <t>3:01</t>
        </is>
      </c>
      <c r="C4194" t="inlineStr">
        <is>
          <t>which would be helpful for all
drivers, especially trucks.</t>
        </is>
      </c>
      <c r="D4194">
        <f>HYPERLINK("https://www.youtube.com/watch?v=z0C7rb9a4mk&amp;t=181s", "Go to time")</f>
        <v/>
      </c>
    </row>
    <row r="4195">
      <c r="A4195">
        <f>HYPERLINK("https://www.youtube.com/watch?v=z0C7rb9a4mk", "Video")</f>
        <v/>
      </c>
      <c r="B4195" t="inlineStr">
        <is>
          <t>3:18</t>
        </is>
      </c>
      <c r="C4195" t="inlineStr">
        <is>
          <t>to dramatically reduce their
drive time and operating costs</t>
        </is>
      </c>
      <c r="D4195">
        <f>HYPERLINK("https://www.youtube.com/watch?v=z0C7rb9a4mk&amp;t=198s", "Go to time")</f>
        <v/>
      </c>
    </row>
    <row r="4196">
      <c r="A4196">
        <f>HYPERLINK("https://www.youtube.com/watch?v=z0C7rb9a4mk", "Video")</f>
        <v/>
      </c>
      <c r="B4196" t="inlineStr">
        <is>
          <t>5:32</t>
        </is>
      </c>
      <c r="C4196" t="inlineStr">
        <is>
          <t>for drivers to take breaks
or visit the businesses.</t>
        </is>
      </c>
      <c r="D4196">
        <f>HYPERLINK("https://www.youtube.com/watch?v=z0C7rb9a4mk&amp;t=332s", "Go to time")</f>
        <v/>
      </c>
    </row>
    <row r="4197">
      <c r="A4197">
        <f>HYPERLINK("https://www.youtube.com/watch?v=z0C7rb9a4mk", "Video")</f>
        <v/>
      </c>
      <c r="B4197" t="inlineStr">
        <is>
          <t>5:59</t>
        </is>
      </c>
      <c r="C4197" t="inlineStr">
        <is>
          <t>is that it allows drivers
to make all movements</t>
        </is>
      </c>
      <c r="D4197">
        <f>HYPERLINK("https://www.youtube.com/watch?v=z0C7rb9a4mk&amp;t=359s", "Go to time")</f>
        <v/>
      </c>
    </row>
    <row r="4198">
      <c r="A4198">
        <f>HYPERLINK("https://www.youtube.com/watch?v=z0C7rb9a4mk", "Video")</f>
        <v/>
      </c>
      <c r="B4198" t="inlineStr">
        <is>
          <t>6:04</t>
        </is>
      </c>
      <c r="C4198" t="inlineStr">
        <is>
          <t>and it signals to drivers
that they're entering</t>
        </is>
      </c>
      <c r="D4198">
        <f>HYPERLINK("https://www.youtube.com/watch?v=z0C7rb9a4mk&amp;t=364s", "Go to time")</f>
        <v/>
      </c>
    </row>
    <row r="4199">
      <c r="A4199">
        <f>HYPERLINK("https://www.youtube.com/watch?v=z0C7rb9a4mk", "Video")</f>
        <v/>
      </c>
      <c r="B4199" t="inlineStr">
        <is>
          <t>7:21</t>
        </is>
      </c>
      <c r="C4199" t="inlineStr">
        <is>
          <t>even with 5.5 million
drivers passing through,</t>
        </is>
      </c>
      <c r="D4199">
        <f>HYPERLINK("https://www.youtube.com/watch?v=z0C7rb9a4mk&amp;t=441s", "Go to time")</f>
        <v/>
      </c>
    </row>
    <row r="4200">
      <c r="A4200">
        <f>HYPERLINK("https://www.youtube.com/watch?v=z0C7rb9a4mk", "Video")</f>
        <v/>
      </c>
      <c r="B4200" t="inlineStr">
        <is>
          <t>7:29</t>
        </is>
      </c>
      <c r="C4200" t="inlineStr">
        <is>
          <t>found that 80% of truck drivers</t>
        </is>
      </c>
      <c r="D4200">
        <f>HYPERLINK("https://www.youtube.com/watch?v=z0C7rb9a4mk&amp;t=449s", "Go to time")</f>
        <v/>
      </c>
    </row>
    <row r="4201">
      <c r="A4201">
        <f>HYPERLINK("https://www.youtube.com/watch?v=z0C7rb9a4mk", "Video")</f>
        <v/>
      </c>
      <c r="B4201" t="inlineStr">
        <is>
          <t>7:46</t>
        </is>
      </c>
      <c r="C4201" t="inlineStr">
        <is>
          <t>rather than being forced
to drive through there.</t>
        </is>
      </c>
      <c r="D4201">
        <f>HYPERLINK("https://www.youtube.com/watch?v=z0C7rb9a4mk&amp;t=466s", "Go to time")</f>
        <v/>
      </c>
    </row>
    <row r="4202">
      <c r="A4202">
        <f>HYPERLINK("https://www.youtube.com/watch?v=H_Yh1SsdmQE", "Video")</f>
        <v/>
      </c>
      <c r="B4202" t="inlineStr">
        <is>
          <t>4:02</t>
        </is>
      </c>
      <c r="C4202" t="inlineStr">
        <is>
          <t>pose a particularly big
risk for bus drivers,</t>
        </is>
      </c>
      <c r="D4202">
        <f>HYPERLINK("https://www.youtube.com/watch?v=H_Yh1SsdmQE&amp;t=242s", "Go to time")</f>
        <v/>
      </c>
    </row>
    <row r="4203">
      <c r="A4203">
        <f>HYPERLINK("https://www.youtube.com/watch?v=H_Yh1SsdmQE", "Video")</f>
        <v/>
      </c>
      <c r="B4203" t="inlineStr">
        <is>
          <t>4:16</t>
        </is>
      </c>
      <c r="C4203" t="inlineStr">
        <is>
          <t>from the middle doors to
avoid contact with drivers.</t>
        </is>
      </c>
      <c r="D4203">
        <f>HYPERLINK("https://www.youtube.com/watch?v=H_Yh1SsdmQE&amp;t=256s", "Go to time")</f>
        <v/>
      </c>
    </row>
    <row r="4204">
      <c r="A4204">
        <f>HYPERLINK("https://www.youtube.com/watch?v=H_Yh1SsdmQE", "Video")</f>
        <v/>
      </c>
      <c r="B4204" t="inlineStr">
        <is>
          <t>4:24</t>
        </is>
      </c>
      <c r="C4204" t="inlineStr">
        <is>
          <t>between the driver and passengers.</t>
        </is>
      </c>
      <c r="D4204">
        <f>HYPERLINK("https://www.youtube.com/watch?v=H_Yh1SsdmQE&amp;t=264s", "Go to time")</f>
        <v/>
      </c>
    </row>
    <row r="4205">
      <c r="A4205">
        <f>HYPERLINK("https://www.youtube.com/watch?v=J2retN4TEA0", "Video")</f>
        <v/>
      </c>
      <c r="B4205" t="inlineStr">
        <is>
          <t>2:46</t>
        </is>
      </c>
      <c r="C4205" t="inlineStr">
        <is>
          <t>which has experienced a
nationwide shortage of drivers.</t>
        </is>
      </c>
      <c r="D4205">
        <f>HYPERLINK("https://www.youtube.com/watch?v=J2retN4TEA0&amp;t=166s", "Go to time")</f>
        <v/>
      </c>
    </row>
    <row r="4206">
      <c r="A4206">
        <f>HYPERLINK("https://www.youtube.com/watch?v=J2retN4TEA0", "Video")</f>
        <v/>
      </c>
      <c r="B4206" t="inlineStr">
        <is>
          <t>4:39</t>
        </is>
      </c>
      <c r="C4206" t="inlineStr">
        <is>
          <t>that have benefited from
pandemic driven shifts.</t>
        </is>
      </c>
      <c r="D4206">
        <f>HYPERLINK("https://www.youtube.com/watch?v=J2retN4TEA0&amp;t=279s", "Go to time")</f>
        <v/>
      </c>
    </row>
    <row r="4207">
      <c r="A4207">
        <f>HYPERLINK("https://www.youtube.com/watch?v=zO8esJuQIMs", "Video")</f>
        <v/>
      </c>
      <c r="B4207" t="inlineStr">
        <is>
          <t>5:06</t>
        </is>
      </c>
      <c r="C4207" t="inlineStr">
        <is>
          <t>driven by topological effects this price</t>
        </is>
      </c>
      <c r="D4207">
        <f>HYPERLINK("https://www.youtube.com/watch?v=zO8esJuQIMs&amp;t=306s", "Go to time")</f>
        <v/>
      </c>
    </row>
    <row r="4208">
      <c r="A4208">
        <f>HYPERLINK("https://www.youtube.com/watch?v=7CbUsMYEu6I", "Video")</f>
        <v/>
      </c>
      <c r="B4208" t="inlineStr">
        <is>
          <t>0:55</t>
        </is>
      </c>
      <c r="C4208" t="inlineStr">
        <is>
          <t>drive people to purchase that box they</t>
        </is>
      </c>
      <c r="D4208">
        <f>HYPERLINK("https://www.youtube.com/watch?v=7CbUsMYEu6I&amp;t=55s", "Go to time")</f>
        <v/>
      </c>
    </row>
    <row r="4209">
      <c r="A4209">
        <f>HYPERLINK("https://www.youtube.com/watch?v=fJ1ENoElyQA", "Video")</f>
        <v/>
      </c>
      <c r="B4209" t="inlineStr">
        <is>
          <t>2:24</t>
        </is>
      </c>
      <c r="C4209" t="inlineStr">
        <is>
          <t>- The inflation, which drives
up the prices of everything,</t>
        </is>
      </c>
      <c r="D4209">
        <f>HYPERLINK("https://www.youtube.com/watch?v=fJ1ENoElyQA&amp;t=144s", "Go to time")</f>
        <v/>
      </c>
    </row>
    <row r="4210">
      <c r="A4210">
        <f>HYPERLINK("https://www.youtube.com/watch?v=3FqN3SCE994", "Video")</f>
        <v/>
      </c>
      <c r="B4210" t="inlineStr">
        <is>
          <t>1:49</t>
        </is>
      </c>
      <c r="C4210" t="inlineStr">
        <is>
          <t>immune system is in overdrive and the</t>
        </is>
      </c>
      <c r="D4210">
        <f>HYPERLINK("https://www.youtube.com/watch?v=3FqN3SCE994&amp;t=109s", "Go to time")</f>
        <v/>
      </c>
    </row>
    <row r="4211">
      <c r="A4211">
        <f>HYPERLINK("https://www.youtube.com/watch?v=25q1XawljmA", "Video")</f>
        <v/>
      </c>
      <c r="B4211" t="inlineStr">
        <is>
          <t>1:22</t>
        </is>
      </c>
      <c r="C4211" t="inlineStr">
        <is>
          <t>beings the new slave drivers cannot</t>
        </is>
      </c>
      <c r="D4211">
        <f>HYPERLINK("https://www.youtube.com/watch?v=25q1XawljmA&amp;t=82s", "Go to time")</f>
        <v/>
      </c>
    </row>
    <row r="4212">
      <c r="A4212">
        <f>HYPERLINK("https://www.youtube.com/watch?v=uXPfqO-UdSk", "Video")</f>
        <v/>
      </c>
      <c r="B4212" t="inlineStr">
        <is>
          <t>1:47</t>
        </is>
      </c>
      <c r="C4212" t="inlineStr">
        <is>
          <t>onedrive on my wrist I also switched off</t>
        </is>
      </c>
      <c r="D4212">
        <f>HYPERLINK("https://www.youtube.com/watch?v=uXPfqO-UdSk&amp;t=107s", "Go to time")</f>
        <v/>
      </c>
    </row>
    <row r="4213">
      <c r="A4213">
        <f>HYPERLINK("https://www.youtube.com/watch?v=5vEHj7j9pdI", "Video")</f>
        <v/>
      </c>
      <c r="B4213" t="inlineStr">
        <is>
          <t>2:02</t>
        </is>
      </c>
      <c r="C4213" t="inlineStr">
        <is>
          <t>and test drives for car</t>
        </is>
      </c>
      <c r="D4213">
        <f>HYPERLINK("https://www.youtube.com/watch?v=5vEHj7j9pdI&amp;t=122s", "Go to time")</f>
        <v/>
      </c>
    </row>
    <row r="4214">
      <c r="A4214">
        <f>HYPERLINK("https://www.youtube.com/watch?v=xybcso3LU6Q", "Video")</f>
        <v/>
      </c>
      <c r="B4214" t="inlineStr">
        <is>
          <t>4:08</t>
        </is>
      </c>
      <c r="C4214" t="inlineStr">
        <is>
          <t>catch a ball and drive see this feeling</t>
        </is>
      </c>
      <c r="D4214">
        <f>HYPERLINK("https://www.youtube.com/watch?v=xybcso3LU6Q&amp;t=248s", "Go to time")</f>
        <v/>
      </c>
    </row>
    <row r="4215">
      <c r="A4215">
        <f>HYPERLINK("https://www.youtube.com/watch?v=3RhSoPkzkCc", "Video")</f>
        <v/>
      </c>
      <c r="B4215" t="inlineStr">
        <is>
          <t>2:54</t>
        </is>
      </c>
      <c r="C4215" t="inlineStr">
        <is>
          <t>her 81-year-old husband he can't drive</t>
        </is>
      </c>
      <c r="D4215">
        <f>HYPERLINK("https://www.youtube.com/watch?v=3RhSoPkzkCc&amp;t=174s", "Go to time")</f>
        <v/>
      </c>
    </row>
    <row r="4216">
      <c r="A4216">
        <f>HYPERLINK("https://www.youtube.com/watch?v=rh8ZDiekQQY", "Video")</f>
        <v/>
      </c>
      <c r="B4216" t="inlineStr">
        <is>
          <t>2:03</t>
        </is>
      </c>
      <c r="C4216" t="inlineStr">
        <is>
          <t>about 30 miles into the drive.</t>
        </is>
      </c>
      <c r="D4216">
        <f>HYPERLINK("https://www.youtube.com/watch?v=rh8ZDiekQQY&amp;t=123s", "Go to time")</f>
        <v/>
      </c>
    </row>
    <row r="4217">
      <c r="A4217">
        <f>HYPERLINK("https://www.youtube.com/watch?v=rh8ZDiekQQY", "Video")</f>
        <v/>
      </c>
      <c r="B4217" t="inlineStr">
        <is>
          <t>2:29</t>
        </is>
      </c>
      <c r="C4217" t="inlineStr">
        <is>
          <t>its rear wheel drive
model would've kept up.</t>
        </is>
      </c>
      <c r="D4217">
        <f>HYPERLINK("https://www.youtube.com/watch?v=rh8ZDiekQQY&amp;t=149s", "Go to time")</f>
        <v/>
      </c>
    </row>
    <row r="4218">
      <c r="A4218">
        <f>HYPERLINK("https://www.youtube.com/watch?v=rh8ZDiekQQY", "Video")</f>
        <v/>
      </c>
      <c r="B4218" t="inlineStr">
        <is>
          <t>2:33</t>
        </is>
      </c>
      <c r="C4218" t="inlineStr">
        <is>
          <t>the two and a half hour drive.</t>
        </is>
      </c>
      <c r="D4218">
        <f>HYPERLINK("https://www.youtube.com/watch?v=rh8ZDiekQQY&amp;t=153s", "Go to time")</f>
        <v/>
      </c>
    </row>
    <row r="4219">
      <c r="A4219">
        <f>HYPERLINK("https://www.youtube.com/watch?v=rh8ZDiekQQY", "Video")</f>
        <v/>
      </c>
      <c r="B4219" t="inlineStr">
        <is>
          <t>4:04</t>
        </is>
      </c>
      <c r="C4219" t="inlineStr">
        <is>
          <t>to drive all the way home.</t>
        </is>
      </c>
      <c r="D4219">
        <f>HYPERLINK("https://www.youtube.com/watch?v=rh8ZDiekQQY&amp;t=244s", "Go to time")</f>
        <v/>
      </c>
    </row>
    <row r="4220">
      <c r="A4220">
        <f>HYPERLINK("https://www.youtube.com/watch?v=gPpAL_pG_Wc", "Video")</f>
        <v/>
      </c>
      <c r="B4220" t="inlineStr">
        <is>
          <t>7:33</t>
        </is>
      </c>
      <c r="C4220" t="inlineStr">
        <is>
          <t>to develop chips that'll drive the future</t>
        </is>
      </c>
      <c r="D4220">
        <f>HYPERLINK("https://www.youtube.com/watch?v=gPpAL_pG_Wc&amp;t=453s", "Go to time")</f>
        <v/>
      </c>
    </row>
    <row r="4221">
      <c r="A4221">
        <f>HYPERLINK("https://www.youtube.com/watch?v=BQtj-AsBoXw", "Video")</f>
        <v/>
      </c>
      <c r="B4221" t="inlineStr">
        <is>
          <t>0:30</t>
        </is>
      </c>
      <c r="C4221" t="inlineStr">
        <is>
          <t>be driven by more competition for</t>
        </is>
      </c>
      <c r="D4221">
        <f>HYPERLINK("https://www.youtube.com/watch?v=BQtj-AsBoXw&amp;t=30s", "Go to time")</f>
        <v/>
      </c>
    </row>
    <row r="4222">
      <c r="A4222">
        <f>HYPERLINK("https://www.youtube.com/watch?v=oD72lYjjFvs", "Video")</f>
        <v/>
      </c>
      <c r="B4222" t="inlineStr">
        <is>
          <t>1:14</t>
        </is>
      </c>
      <c r="C4222" t="inlineStr">
        <is>
          <t>drive around much because we chose to</t>
        </is>
      </c>
      <c r="D4222">
        <f>HYPERLINK("https://www.youtube.com/watch?v=oD72lYjjFvs&amp;t=74s", "Go to time")</f>
        <v/>
      </c>
    </row>
    <row r="4223">
      <c r="A4223">
        <f>HYPERLINK("https://www.youtube.com/watch?v=oD72lYjjFvs", "Video")</f>
        <v/>
      </c>
      <c r="B4223" t="inlineStr">
        <is>
          <t>1:48</t>
        </is>
      </c>
      <c r="C4223" t="inlineStr">
        <is>
          <t>driveway under the driveway because we</t>
        </is>
      </c>
      <c r="D4223">
        <f>HYPERLINK("https://www.youtube.com/watch?v=oD72lYjjFvs&amp;t=108s", "Go to time")</f>
        <v/>
      </c>
    </row>
    <row r="4224">
      <c r="A4224">
        <f>HYPERLINK("https://www.youtube.com/watch?v=oD72lYjjFvs", "Video")</f>
        <v/>
      </c>
      <c r="B4224" t="inlineStr">
        <is>
          <t>1:50</t>
        </is>
      </c>
      <c r="C4224" t="inlineStr">
        <is>
          <t>we barely have to drive anything.</t>
        </is>
      </c>
      <c r="D4224">
        <f>HYPERLINK("https://www.youtube.com/watch?v=oD72lYjjFvs&amp;t=110s", "Go to time")</f>
        <v/>
      </c>
    </row>
    <row r="4225">
      <c r="A4225">
        <f>HYPERLINK("https://www.youtube.com/watch?v=fZn_laSbrrI", "Video")</f>
        <v/>
      </c>
      <c r="B4225" t="inlineStr">
        <is>
          <t>0:54</t>
        </is>
      </c>
      <c r="C4225" t="inlineStr">
        <is>
          <t>datadriven motivation is that it's</t>
        </is>
      </c>
      <c r="D4225">
        <f>HYPERLINK("https://www.youtube.com/watch?v=fZn_laSbrrI&amp;t=54s", "Go to time")</f>
        <v/>
      </c>
    </row>
    <row r="4226">
      <c r="A4226">
        <f>HYPERLINK("https://www.youtube.com/watch?v=KO5djvv3CCs", "Video")</f>
        <v/>
      </c>
      <c r="B4226" t="inlineStr">
        <is>
          <t>5:40</t>
        </is>
      </c>
      <c r="C4226" t="inlineStr">
        <is>
          <t>That has really driven
Russian foreign policy</t>
        </is>
      </c>
      <c r="D4226">
        <f>HYPERLINK("https://www.youtube.com/watch?v=KO5djvv3CCs&amp;t=340s", "Go to time")</f>
        <v/>
      </c>
    </row>
    <row r="4227">
      <c r="A4227">
        <f>HYPERLINK("https://www.youtube.com/watch?v=atuiUoSaRd4", "Video")</f>
        <v/>
      </c>
      <c r="B4227" t="inlineStr">
        <is>
          <t>0:04</t>
        </is>
      </c>
      <c r="C4227" t="inlineStr">
        <is>
          <t>a southbound FedEx driver um that</t>
        </is>
      </c>
      <c r="D4227">
        <f>HYPERLINK("https://www.youtube.com/watch?v=atuiUoSaRd4&amp;t=4s", "Go to time")</f>
        <v/>
      </c>
    </row>
    <row r="4228">
      <c r="A4228">
        <f>HYPERLINK("https://www.youtube.com/watch?v=atuiUoSaRd4", "Video")</f>
        <v/>
      </c>
      <c r="B4228" t="inlineStr">
        <is>
          <t>0:30</t>
        </is>
      </c>
      <c r="C4228" t="inlineStr">
        <is>
          <t>drivers as far as on the bus um at this</t>
        </is>
      </c>
      <c r="D4228">
        <f>HYPERLINK("https://www.youtube.com/watch?v=atuiUoSaRd4&amp;t=30s", "Go to time")</f>
        <v/>
      </c>
    </row>
    <row r="4229">
      <c r="A4229">
        <f>HYPERLINK("https://www.youtube.com/watch?v=iw241mudI7w", "Video")</f>
        <v/>
      </c>
      <c r="B4229" t="inlineStr">
        <is>
          <t>4:36</t>
        </is>
      </c>
      <c r="C4229" t="inlineStr">
        <is>
          <t>if you drive it, it still
kinda holds its value,</t>
        </is>
      </c>
      <c r="D4229">
        <f>HYPERLINK("https://www.youtube.com/watch?v=iw241mudI7w&amp;t=276s", "Go to time")</f>
        <v/>
      </c>
    </row>
    <row r="4230">
      <c r="A4230">
        <f>HYPERLINK("https://www.youtube.com/watch?v=yKtw4of-j0E", "Video")</f>
        <v/>
      </c>
      <c r="B4230" t="inlineStr">
        <is>
          <t>1:48</t>
        </is>
      </c>
      <c r="C4230" t="inlineStr">
        <is>
          <t>a lot of it's driven by
just fiscal spending.</t>
        </is>
      </c>
      <c r="D4230">
        <f>HYPERLINK("https://www.youtube.com/watch?v=yKtw4of-j0E&amp;t=108s", "Go to time")</f>
        <v/>
      </c>
    </row>
    <row r="4231">
      <c r="A4231">
        <f>HYPERLINK("https://www.youtube.com/watch?v=zb9jB7FAPYo", "Video")</f>
        <v/>
      </c>
      <c r="B4231" t="inlineStr">
        <is>
          <t>1:03</t>
        </is>
      </c>
      <c r="C4231" t="inlineStr">
        <is>
          <t>As we drive closer to the site,</t>
        </is>
      </c>
      <c r="D4231">
        <f>HYPERLINK("https://www.youtube.com/watch?v=zb9jB7FAPYo&amp;t=63s", "Go to time")</f>
        <v/>
      </c>
    </row>
    <row r="4232">
      <c r="A4232">
        <f>HYPERLINK("https://www.youtube.com/watch?v=zb9jB7FAPYo", "Video")</f>
        <v/>
      </c>
      <c r="B4232" t="inlineStr">
        <is>
          <t>1:17</t>
        </is>
      </c>
      <c r="C4232" t="inlineStr">
        <is>
          <t>(driver peaking in Japanese)</t>
        </is>
      </c>
      <c r="D4232">
        <f>HYPERLINK("https://www.youtube.com/watch?v=zb9jB7FAPYo&amp;t=77s", "Go to time")</f>
        <v/>
      </c>
    </row>
    <row r="4233">
      <c r="A4233">
        <f>HYPERLINK("https://www.youtube.com/watch?v=IY9SPTTfOuU", "Video")</f>
        <v/>
      </c>
      <c r="B4233" t="inlineStr">
        <is>
          <t>3:11</t>
        </is>
      </c>
      <c r="C4233" t="inlineStr">
        <is>
          <t>has driven a rise in household income,</t>
        </is>
      </c>
      <c r="D4233">
        <f>HYPERLINK("https://www.youtube.com/watch?v=IY9SPTTfOuU&amp;t=191s", "Go to time")</f>
        <v/>
      </c>
    </row>
    <row r="4234">
      <c r="A4234">
        <f>HYPERLINK("https://www.youtube.com/watch?v=5JIuT-51jBw", "Video")</f>
        <v/>
      </c>
      <c r="B4234" t="inlineStr">
        <is>
          <t>1:12</t>
        </is>
      </c>
      <c r="C4234" t="inlineStr">
        <is>
          <t>you've ever driven down a highway you've</t>
        </is>
      </c>
      <c r="D4234">
        <f>HYPERLINK("https://www.youtube.com/watch?v=5JIuT-51jBw&amp;t=72s", "Go to time")</f>
        <v/>
      </c>
    </row>
    <row r="4235">
      <c r="A4235">
        <f>HYPERLINK("https://www.youtube.com/watch?v=5JIuT-51jBw", "Video")</f>
        <v/>
      </c>
      <c r="B4235" t="inlineStr">
        <is>
          <t>2:46</t>
        </is>
      </c>
      <c r="C4235" t="inlineStr">
        <is>
          <t>push the designated driver message</t>
        </is>
      </c>
      <c r="D4235">
        <f>HYPERLINK("https://www.youtube.com/watch?v=5JIuT-51jBw&amp;t=166s", "Go to time")</f>
        <v/>
      </c>
    </row>
    <row r="4236">
      <c r="A4236">
        <f>HYPERLINK("https://www.youtube.com/watch?v=OvkgSJuGPfY", "Video")</f>
        <v/>
      </c>
      <c r="B4236" t="inlineStr">
        <is>
          <t>1:56</t>
        </is>
      </c>
      <c r="C4236" t="inlineStr">
        <is>
          <t>Beyond success was driven by Brown who</t>
        </is>
      </c>
      <c r="D4236">
        <f>HYPERLINK("https://www.youtube.com/watch?v=OvkgSJuGPfY&amp;t=116s", "Go to time")</f>
        <v/>
      </c>
    </row>
    <row r="4237">
      <c r="A4237">
        <f>HYPERLINK("https://www.youtube.com/watch?v=H2iquCQpcEo", "Video")</f>
        <v/>
      </c>
      <c r="B4237" t="inlineStr">
        <is>
          <t>3:03</t>
        </is>
      </c>
      <c r="C4237" t="inlineStr">
        <is>
          <t>use Google Maps while you drive you can</t>
        </is>
      </c>
      <c r="D4237">
        <f>HYPERLINK("https://www.youtube.com/watch?v=H2iquCQpcEo&amp;t=183s", "Go to time")</f>
        <v/>
      </c>
    </row>
    <row r="4238">
      <c r="A4238">
        <f>HYPERLINK("https://www.youtube.com/watch?v=5ulGRph203M", "Video")</f>
        <v/>
      </c>
      <c r="B4238" t="inlineStr">
        <is>
          <t>0:29</t>
        </is>
      </c>
      <c r="C4238" t="inlineStr">
        <is>
          <t>and I think it would be a
lot of fun to drive a tank.</t>
        </is>
      </c>
      <c r="D4238">
        <f>HYPERLINK("https://www.youtube.com/watch?v=5ulGRph203M&amp;t=29s", "Go to time")</f>
        <v/>
      </c>
    </row>
    <row r="4239">
      <c r="A4239">
        <f>HYPERLINK("https://www.youtube.com/watch?v=5ulGRph203M", "Video")</f>
        <v/>
      </c>
      <c r="B4239" t="inlineStr">
        <is>
          <t>7:04</t>
        </is>
      </c>
      <c r="C4239" t="inlineStr">
        <is>
          <t>a rear drive, single motor, dual motor,</t>
        </is>
      </c>
      <c r="D4239">
        <f>HYPERLINK("https://www.youtube.com/watch?v=5ulGRph203M&amp;t=424s", "Go to time")</f>
        <v/>
      </c>
    </row>
    <row r="4240">
      <c r="A4240">
        <f>HYPERLINK("https://www.youtube.com/watch?v=5PHAKTbV9X8", "Video")</f>
        <v/>
      </c>
      <c r="B4240" t="inlineStr">
        <is>
          <t>2:36</t>
        </is>
      </c>
      <c r="C4240" t="inlineStr">
        <is>
          <t>chauffeur drive you around in it great</t>
        </is>
      </c>
      <c r="D4240">
        <f>HYPERLINK("https://www.youtube.com/watch?v=5PHAKTbV9X8&amp;t=156s", "Go to time")</f>
        <v/>
      </c>
    </row>
    <row r="4241">
      <c r="A4241">
        <f>HYPERLINK("https://www.youtube.com/watch?v=2v8cSbtddZA", "Video")</f>
        <v/>
      </c>
      <c r="B4241" t="inlineStr">
        <is>
          <t>2:13</t>
        </is>
      </c>
      <c r="C4241" t="inlineStr">
        <is>
          <t>oh they were wanted to drive it they</t>
        </is>
      </c>
      <c r="D4241">
        <f>HYPERLINK("https://www.youtube.com/watch?v=2v8cSbtddZA&amp;t=133s", "Go to time")</f>
        <v/>
      </c>
    </row>
    <row r="4242">
      <c r="A4242">
        <f>HYPERLINK("https://www.youtube.com/watch?v=uHEPBzYick0", "Video")</f>
        <v/>
      </c>
      <c r="B4242" t="inlineStr">
        <is>
          <t>2:00</t>
        </is>
      </c>
      <c r="C4242" t="inlineStr">
        <is>
          <t>in order to drive AI features.</t>
        </is>
      </c>
      <c r="D4242">
        <f>HYPERLINK("https://www.youtube.com/watch?v=uHEPBzYick0&amp;t=120s", "Go to time")</f>
        <v/>
      </c>
    </row>
    <row r="4243">
      <c r="A4243">
        <f>HYPERLINK("https://www.youtube.com/watch?v=pBYgE-dDDv4", "Video")</f>
        <v/>
      </c>
      <c r="B4243" t="inlineStr">
        <is>
          <t>0:21</t>
        </is>
      </c>
      <c r="C4243" t="inlineStr">
        <is>
          <t>drivers. Lots of mass market, lots of</t>
        </is>
      </c>
      <c r="D4243">
        <f>HYPERLINK("https://www.youtube.com/watch?v=pBYgE-dDDv4&amp;t=21s", "Go to time")</f>
        <v/>
      </c>
    </row>
    <row r="4244">
      <c r="A4244">
        <f>HYPERLINK("https://www.youtube.com/watch?v=pBYgE-dDDv4", "Video")</f>
        <v/>
      </c>
      <c r="B4244" t="inlineStr">
        <is>
          <t>2:24</t>
        </is>
      </c>
      <c r="C4244" t="inlineStr">
        <is>
          <t>drive itself. It's got radar on the top,</t>
        </is>
      </c>
      <c r="D4244">
        <f>HYPERLINK("https://www.youtube.com/watch?v=pBYgE-dDDv4&amp;t=144s", "Go to time")</f>
        <v/>
      </c>
    </row>
    <row r="4245">
      <c r="A4245">
        <f>HYPERLINK("https://www.youtube.com/watch?v=pBYgE-dDDv4", "Video")</f>
        <v/>
      </c>
      <c r="B4245" t="inlineStr">
        <is>
          <t>2:30</t>
        </is>
      </c>
      <c r="C4245" t="inlineStr">
        <is>
          <t>when it's in driveyour yourself mode,</t>
        </is>
      </c>
      <c r="D4245">
        <f>HYPERLINK("https://www.youtube.com/watch?v=pBYgE-dDDv4&amp;t=150s", "Go to time")</f>
        <v/>
      </c>
    </row>
    <row r="4246">
      <c r="A4246">
        <f>HYPERLINK("https://www.youtube.com/watch?v=e9hvhfFanWQ", "Video")</f>
        <v/>
      </c>
      <c r="B4246" t="inlineStr">
        <is>
          <t>1:05</t>
        </is>
      </c>
      <c r="C4246" t="inlineStr">
        <is>
          <t>It's about a 30-minute drive
from the airport in Harlingen,</t>
        </is>
      </c>
      <c r="D4246">
        <f>HYPERLINK("https://www.youtube.com/watch?v=e9hvhfFanWQ&amp;t=65s", "Go to time")</f>
        <v/>
      </c>
    </row>
    <row r="4247">
      <c r="A4247">
        <f>HYPERLINK("https://www.youtube.com/watch?v=fNladyuUcsM", "Video")</f>
        <v/>
      </c>
      <c r="B4247" t="inlineStr">
        <is>
          <t>2:29</t>
        </is>
      </c>
      <c r="C4247" t="inlineStr">
        <is>
          <t>the driver chooses to data like service</t>
        </is>
      </c>
      <c r="D4247">
        <f>HYPERLINK("https://www.youtube.com/watch?v=fNladyuUcsM&amp;t=149s", "Go to time")</f>
        <v/>
      </c>
    </row>
    <row r="4248">
      <c r="A4248">
        <f>HYPERLINK("https://www.youtube.com/watch?v=fNladyuUcsM", "Video")</f>
        <v/>
      </c>
      <c r="B4248" t="inlineStr">
        <is>
          <t>2:33</t>
        </is>
      </c>
      <c r="C4248" t="inlineStr">
        <is>
          <t>an nft which the driver could then show</t>
        </is>
      </c>
      <c r="D4248">
        <f>HYPERLINK("https://www.youtube.com/watch?v=fNladyuUcsM&amp;t=153s", "Go to time")</f>
        <v/>
      </c>
    </row>
    <row r="4249">
      <c r="A4249">
        <f>HYPERLINK("https://www.youtube.com/watch?v=fNladyuUcsM", "Video")</f>
        <v/>
      </c>
      <c r="B4249" t="inlineStr">
        <is>
          <t>3:55</t>
        </is>
      </c>
      <c r="C4249" t="inlineStr">
        <is>
          <t>that drivers mechanics dealerships and</t>
        </is>
      </c>
      <c r="D4249">
        <f>HYPERLINK("https://www.youtube.com/watch?v=fNladyuUcsM&amp;t=235s", "Go to time")</f>
        <v/>
      </c>
    </row>
    <row r="4250">
      <c r="A4250">
        <f>HYPERLINK("https://www.youtube.com/watch?v=W-_YOw94grg", "Video")</f>
        <v/>
      </c>
      <c r="B4250" t="inlineStr">
        <is>
          <t>0:03</t>
        </is>
      </c>
      <c r="C4250" t="inlineStr">
        <is>
          <t>on a global vaccine delivery drive</t>
        </is>
      </c>
      <c r="D4250">
        <f>HYPERLINK("https://www.youtube.com/watch?v=W-_YOw94grg&amp;t=3s", "Go to time")</f>
        <v/>
      </c>
    </row>
    <row r="4251">
      <c r="A4251">
        <f>HYPERLINK("https://www.youtube.com/watch?v=W-_YOw94grg", "Video")</f>
        <v/>
      </c>
      <c r="B4251" t="inlineStr">
        <is>
          <t>4:21</t>
        </is>
      </c>
      <c r="C4251" t="inlineStr">
        <is>
          <t>to speed up vaccination
drives around the world.</t>
        </is>
      </c>
      <c r="D4251">
        <f>HYPERLINK("https://www.youtube.com/watch?v=W-_YOw94grg&amp;t=261s", "Go to time")</f>
        <v/>
      </c>
    </row>
    <row r="4252">
      <c r="A4252">
        <f>HYPERLINK("https://www.youtube.com/watch?v=xSYzJwd-iTM", "Video")</f>
        <v/>
      </c>
      <c r="B4252" t="inlineStr">
        <is>
          <t>1:10</t>
        </is>
      </c>
      <c r="C4252" t="inlineStr">
        <is>
          <t>well the idea is that especially drivers</t>
        </is>
      </c>
      <c r="D4252">
        <f>HYPERLINK("https://www.youtube.com/watch?v=xSYzJwd-iTM&amp;t=70s", "Go to time")</f>
        <v/>
      </c>
    </row>
    <row r="4253">
      <c r="A4253">
        <f>HYPERLINK("https://www.youtube.com/watch?v=fDOCpPSuII4", "Video")</f>
        <v/>
      </c>
      <c r="B4253" t="inlineStr">
        <is>
          <t>1:49</t>
        </is>
      </c>
      <c r="C4253" t="inlineStr">
        <is>
          <t>driven issue for for some time now I</t>
        </is>
      </c>
      <c r="D4253">
        <f>HYPERLINK("https://www.youtube.com/watch?v=fDOCpPSuII4&amp;t=109s", "Go to time")</f>
        <v/>
      </c>
    </row>
    <row r="4254">
      <c r="A4254">
        <f>HYPERLINK("https://www.youtube.com/watch?v=A_EzwRj3PIA", "Video")</f>
        <v/>
      </c>
      <c r="B4254" t="inlineStr">
        <is>
          <t>2:32</t>
        </is>
      </c>
      <c r="C4254" t="inlineStr">
        <is>
          <t>the driver's seat acting like a central</t>
        </is>
      </c>
      <c r="D4254">
        <f>HYPERLINK("https://www.youtube.com/watch?v=A_EzwRj3PIA&amp;t=152s", "Go to time")</f>
        <v/>
      </c>
    </row>
    <row r="4255">
      <c r="A4255">
        <f>HYPERLINK("https://www.youtube.com/watch?v=tyJCB9OHDPc", "Video")</f>
        <v/>
      </c>
      <c r="B4255" t="inlineStr">
        <is>
          <t>2:25</t>
        </is>
      </c>
      <c r="C4255" t="inlineStr">
        <is>
          <t>Number four driver's license.</t>
        </is>
      </c>
      <c r="D4255">
        <f>HYPERLINK("https://www.youtube.com/watch?v=tyJCB9OHDPc&amp;t=145s", "Go to time")</f>
        <v/>
      </c>
    </row>
    <row r="4256">
      <c r="A4256">
        <f>HYPERLINK("https://www.youtube.com/watch?v=tyJCB9OHDPc", "Video")</f>
        <v/>
      </c>
      <c r="B4256" t="inlineStr">
        <is>
          <t>2:31</t>
        </is>
      </c>
      <c r="C4256" t="inlineStr">
        <is>
          <t>Now it can have your driver's license.</t>
        </is>
      </c>
      <c r="D4256">
        <f>HYPERLINK("https://www.youtube.com/watch?v=tyJCB9OHDPc&amp;t=151s", "Go to time")</f>
        <v/>
      </c>
    </row>
    <row r="4257">
      <c r="A4257">
        <f>HYPERLINK("https://www.youtube.com/watch?v=tyJCB9OHDPc", "Video")</f>
        <v/>
      </c>
      <c r="B4257" t="inlineStr">
        <is>
          <t>2:33</t>
        </is>
      </c>
      <c r="C4257" t="inlineStr">
        <is>
          <t>- This fall, you'll just
scan your driver's license</t>
        </is>
      </c>
      <c r="D4257">
        <f>HYPERLINK("https://www.youtube.com/watch?v=tyJCB9OHDPc&amp;t=153s", "Go to time")</f>
        <v/>
      </c>
    </row>
    <row r="4258">
      <c r="A4258">
        <f>HYPERLINK("https://www.youtube.com/watch?v=YNQWbp1OkXI", "Video")</f>
        <v/>
      </c>
      <c r="B4258" t="inlineStr">
        <is>
          <t>1:49</t>
        </is>
      </c>
      <c r="C4258" t="inlineStr">
        <is>
          <t>economy that's increasingly driven by</t>
        </is>
      </c>
      <c r="D4258">
        <f>HYPERLINK("https://www.youtube.com/watch?v=YNQWbp1OkXI&amp;t=109s", "Go to time")</f>
        <v/>
      </c>
    </row>
    <row r="4259">
      <c r="A4259">
        <f>HYPERLINK("https://www.youtube.com/watch?v=i2SSySOz3VM", "Video")</f>
        <v/>
      </c>
      <c r="B4259" t="inlineStr">
        <is>
          <t>1:33</t>
        </is>
      </c>
      <c r="C4259" t="inlineStr">
        <is>
          <t>that might drive the whole market,</t>
        </is>
      </c>
      <c r="D4259">
        <f>HYPERLINK("https://www.youtube.com/watch?v=i2SSySOz3VM&amp;t=93s", "Go to time")</f>
        <v/>
      </c>
    </row>
    <row r="4260">
      <c r="A4260">
        <f>HYPERLINK("https://www.youtube.com/watch?v=i2SSySOz3VM", "Video")</f>
        <v/>
      </c>
      <c r="B4260" t="inlineStr">
        <is>
          <t>3:59</t>
        </is>
      </c>
      <c r="C4260" t="inlineStr">
        <is>
          <t>to raw materials that have
driven up diaper prices.</t>
        </is>
      </c>
      <c r="D4260">
        <f>HYPERLINK("https://www.youtube.com/watch?v=i2SSySOz3VM&amp;t=239s", "Go to time")</f>
        <v/>
      </c>
    </row>
    <row r="4261">
      <c r="A4261">
        <f>HYPERLINK("https://www.youtube.com/watch?v=i2SSySOz3VM", "Video")</f>
        <v/>
      </c>
      <c r="B4261" t="inlineStr">
        <is>
          <t>4:07</t>
        </is>
      </c>
      <c r="C4261" t="inlineStr">
        <is>
          <t>and driver shortages have
caused significant delays</t>
        </is>
      </c>
      <c r="D4261">
        <f>HYPERLINK("https://www.youtube.com/watch?v=i2SSySOz3VM&amp;t=247s", "Go to time")</f>
        <v/>
      </c>
    </row>
    <row r="4262">
      <c r="A4262">
        <f>HYPERLINK("https://www.youtube.com/watch?v=i2SSySOz3VM", "Video")</f>
        <v/>
      </c>
      <c r="B4262" t="inlineStr">
        <is>
          <t>4:18</t>
        </is>
      </c>
      <c r="C4262" t="inlineStr">
        <is>
          <t>- You have the trucking
rates, the labor for drivers,</t>
        </is>
      </c>
      <c r="D4262">
        <f>HYPERLINK("https://www.youtube.com/watch?v=i2SSySOz3VM&amp;t=258s", "Go to time")</f>
        <v/>
      </c>
    </row>
    <row r="4263">
      <c r="A4263">
        <f>HYPERLINK("https://www.youtube.com/watch?v=i2SSySOz3VM", "Video")</f>
        <v/>
      </c>
      <c r="B4263" t="inlineStr">
        <is>
          <t>5:22</t>
        </is>
      </c>
      <c r="C4263" t="inlineStr">
        <is>
          <t>partially driven by a trend</t>
        </is>
      </c>
      <c r="D4263">
        <f>HYPERLINK("https://www.youtube.com/watch?v=i2SSySOz3VM&amp;t=322s", "Go to time")</f>
        <v/>
      </c>
    </row>
    <row r="4264">
      <c r="A4264">
        <f>HYPERLINK("https://www.youtube.com/watch?v=8RMMdpwpkVU", "Video")</f>
        <v/>
      </c>
      <c r="B4264" t="inlineStr">
        <is>
          <t>0:56</t>
        </is>
      </c>
      <c r="C4264" t="inlineStr">
        <is>
          <t>promoted a consensus-driven leadership</t>
        </is>
      </c>
      <c r="D4264">
        <f>HYPERLINK("https://www.youtube.com/watch?v=8RMMdpwpkVU&amp;t=56s", "Go to time")</f>
        <v/>
      </c>
    </row>
    <row r="4265">
      <c r="A4265">
        <f>HYPERLINK("https://www.youtube.com/watch?v=NbbIAlI-Vvc", "Video")</f>
        <v/>
      </c>
      <c r="B4265" t="inlineStr">
        <is>
          <t>0:08</t>
        </is>
      </c>
      <c r="C4265" t="inlineStr">
        <is>
          <t>cute driverless cars I mean that seems</t>
        </is>
      </c>
      <c r="D4265">
        <f>HYPERLINK("https://www.youtube.com/watch?v=NbbIAlI-Vvc&amp;t=8s", "Go to time")</f>
        <v/>
      </c>
    </row>
    <row r="4266">
      <c r="A4266">
        <f>HYPERLINK("https://www.youtube.com/watch?v=NbbIAlI-Vvc", "Video")</f>
        <v/>
      </c>
      <c r="B4266" t="inlineStr">
        <is>
          <t>0:56</t>
        </is>
      </c>
      <c r="C4266" t="inlineStr">
        <is>
          <t>get a Google driverless car and we'll</t>
        </is>
      </c>
      <c r="D4266">
        <f>HYPERLINK("https://www.youtube.com/watch?v=NbbIAlI-Vvc&amp;t=56s", "Go to time")</f>
        <v/>
      </c>
    </row>
    <row r="4267">
      <c r="A4267">
        <f>HYPERLINK("https://www.youtube.com/watch?v=w5dA3rEajmo", "Video")</f>
        <v/>
      </c>
      <c r="B4267" t="inlineStr">
        <is>
          <t>1:42</t>
        </is>
      </c>
      <c r="C4267" t="inlineStr">
        <is>
          <t>and ideologically driven set of ideas to</t>
        </is>
      </c>
      <c r="D4267">
        <f>HYPERLINK("https://www.youtube.com/watch?v=w5dA3rEajmo&amp;t=102s", "Go to time")</f>
        <v/>
      </c>
    </row>
    <row r="4268">
      <c r="A4268">
        <f>HYPERLINK("https://www.youtube.com/watch?v=1u5RZ7CcKbU", "Video")</f>
        <v/>
      </c>
      <c r="B4268" t="inlineStr">
        <is>
          <t>0:31</t>
        </is>
      </c>
      <c r="C4268" t="inlineStr">
        <is>
          <t>has also driven its death rate</t>
        </is>
      </c>
      <c r="D4268">
        <f>HYPERLINK("https://www.youtube.com/watch?v=1u5RZ7CcKbU&amp;t=31s", "Go to time")</f>
        <v/>
      </c>
    </row>
    <row r="4269">
      <c r="A4269">
        <f>HYPERLINK("https://www.youtube.com/watch?v=tZbOkMuGj7M", "Video")</f>
        <v/>
      </c>
      <c r="B4269" t="inlineStr">
        <is>
          <t>2:41</t>
        </is>
      </c>
      <c r="C4269" t="inlineStr">
        <is>
          <t>marketing its products to
on-the-go, career-driven women.</t>
        </is>
      </c>
      <c r="D4269">
        <f>HYPERLINK("https://www.youtube.com/watch?v=tZbOkMuGj7M&amp;t=161s", "Go to time")</f>
        <v/>
      </c>
    </row>
    <row r="4270">
      <c r="A4270">
        <f>HYPERLINK("https://www.youtube.com/watch?v=tZbOkMuGj7M", "Video")</f>
        <v/>
      </c>
      <c r="B4270" t="inlineStr">
        <is>
          <t>6:08</t>
        </is>
      </c>
      <c r="C4270" t="inlineStr">
        <is>
          <t>we're seeing brands that
are driven by influencers,</t>
        </is>
      </c>
      <c r="D4270">
        <f>HYPERLINK("https://www.youtube.com/watch?v=tZbOkMuGj7M&amp;t=368s", "Go to time")</f>
        <v/>
      </c>
    </row>
    <row r="4271">
      <c r="A4271">
        <f>HYPERLINK("https://www.youtube.com/watch?v=Pl5eONEXIvg", "Video")</f>
        <v/>
      </c>
      <c r="B4271" t="inlineStr">
        <is>
          <t>2:08</t>
        </is>
      </c>
      <c r="C4271" t="inlineStr">
        <is>
          <t>penthouse owner you will drive into your</t>
        </is>
      </c>
      <c r="D4271">
        <f>HYPERLINK("https://www.youtube.com/watch?v=Pl5eONEXIvg&amp;t=128s", "Go to time")</f>
        <v/>
      </c>
    </row>
    <row r="4272">
      <c r="A4272">
        <f>HYPERLINK("https://www.youtube.com/watch?v=DK14_by6f5E", "Video")</f>
        <v/>
      </c>
      <c r="B4272" t="inlineStr">
        <is>
          <t>4:47</t>
        </is>
      </c>
      <c r="C4272" t="inlineStr">
        <is>
          <t>going to go on a food drive we last year</t>
        </is>
      </c>
      <c r="D4272">
        <f>HYPERLINK("https://www.youtube.com/watch?v=DK14_by6f5E&amp;t=287s", "Go to time")</f>
        <v/>
      </c>
    </row>
    <row r="4273">
      <c r="A4273">
        <f>HYPERLINK("https://www.youtube.com/watch?v=OUHU5UjnGtw", "Video")</f>
        <v/>
      </c>
      <c r="B4273" t="inlineStr">
        <is>
          <t>2:17</t>
        </is>
      </c>
      <c r="C4273" t="inlineStr">
        <is>
          <t>which a driver in one of
these vehicles confirmed.</t>
        </is>
      </c>
      <c r="D4273">
        <f>HYPERLINK("https://www.youtube.com/watch?v=OUHU5UjnGtw&amp;t=137s", "Go to time")</f>
        <v/>
      </c>
    </row>
    <row r="4274">
      <c r="A4274">
        <f>HYPERLINK("https://www.youtube.com/watch?v=kn90mcaUVDQ", "Video")</f>
        <v/>
      </c>
      <c r="B4274" t="inlineStr">
        <is>
          <t>0:03</t>
        </is>
      </c>
      <c r="C4274" t="inlineStr">
        <is>
          <t>down to how they train their drivers to</t>
        </is>
      </c>
      <c r="D4274">
        <f>HYPERLINK("https://www.youtube.com/watch?v=kn90mcaUVDQ&amp;t=3s", "Go to time")</f>
        <v/>
      </c>
    </row>
    <row r="4275">
      <c r="A4275">
        <f>HYPERLINK("https://www.youtube.com/watch?v=kn90mcaUVDQ", "Video")</f>
        <v/>
      </c>
      <c r="B4275" t="inlineStr">
        <is>
          <t>0:10</t>
        </is>
      </c>
      <c r="C4275" t="inlineStr">
        <is>
          <t>wants to recruit a million new drivers</t>
        </is>
      </c>
      <c r="D4275">
        <f>HYPERLINK("https://www.youtube.com/watch?v=kn90mcaUVDQ&amp;t=10s", "Go to time")</f>
        <v/>
      </c>
    </row>
    <row r="4276">
      <c r="A4276">
        <f>HYPERLINK("https://www.youtube.com/watch?v=kn90mcaUVDQ", "Video")</f>
        <v/>
      </c>
      <c r="B4276" t="inlineStr">
        <is>
          <t>0:14</t>
        </is>
      </c>
      <c r="C4276" t="inlineStr">
        <is>
          <t>never driven a car tapped on a</t>
        </is>
      </c>
      <c r="D4276">
        <f>HYPERLINK("https://www.youtube.com/watch?v=kn90mcaUVDQ&amp;t=14s", "Go to time")</f>
        <v/>
      </c>
    </row>
    <row r="4277">
      <c r="A4277">
        <f>HYPERLINK("https://www.youtube.com/watch?v=kn90mcaUVDQ", "Video")</f>
        <v/>
      </c>
      <c r="B4277" t="inlineStr">
        <is>
          <t>0:18</t>
        </is>
      </c>
      <c r="C4277" t="inlineStr">
        <is>
          <t>drivers like sikandar Manda a former</t>
        </is>
      </c>
      <c r="D4277">
        <f>HYPERLINK("https://www.youtube.com/watch?v=kn90mcaUVDQ&amp;t=18s", "Go to time")</f>
        <v/>
      </c>
    </row>
    <row r="4278">
      <c r="A4278">
        <f>HYPERLINK("https://www.youtube.com/watch?v=kn90mcaUVDQ", "Video")</f>
        <v/>
      </c>
      <c r="B4278" t="inlineStr">
        <is>
          <t>0:32</t>
        </is>
      </c>
      <c r="C4278" t="inlineStr">
        <is>
          <t>prospective drivers are trained in</t>
        </is>
      </c>
      <c r="D4278">
        <f>HYPERLINK("https://www.youtube.com/watch?v=kn90mcaUVDQ&amp;t=32s", "Go to time")</f>
        <v/>
      </c>
    </row>
    <row r="4279">
      <c r="A4279">
        <f>HYPERLINK("https://www.youtube.com/watch?v=kn90mcaUVDQ", "Video")</f>
        <v/>
      </c>
      <c r="B4279" t="inlineStr">
        <is>
          <t>1:00</t>
        </is>
      </c>
      <c r="C4279" t="inlineStr">
        <is>
          <t>retaining competent drivers Uber has</t>
        </is>
      </c>
      <c r="D4279">
        <f>HYPERLINK("https://www.youtube.com/watch?v=kn90mcaUVDQ&amp;t=60s", "Go to time")</f>
        <v/>
      </c>
    </row>
    <row r="4280">
      <c r="A4280">
        <f>HYPERLINK("https://www.youtube.com/watch?v=kn90mcaUVDQ", "Video")</f>
        <v/>
      </c>
      <c r="B4280" t="inlineStr">
        <is>
          <t>1:03</t>
        </is>
      </c>
      <c r="C4280" t="inlineStr">
        <is>
          <t>about 400,000 drivers on its platform in</t>
        </is>
      </c>
      <c r="D4280">
        <f>HYPERLINK("https://www.youtube.com/watch?v=kn90mcaUVDQ&amp;t=63s", "Go to time")</f>
        <v/>
      </c>
    </row>
    <row r="4281">
      <c r="A4281">
        <f>HYPERLINK("https://www.youtube.com/watch?v=kn90mcaUVDQ", "Video")</f>
        <v/>
      </c>
      <c r="B4281" t="inlineStr">
        <is>
          <t>1:11</t>
        </is>
      </c>
      <c r="C4281" t="inlineStr">
        <is>
          <t>550,000 drivers and aims to have 5</t>
        </is>
      </c>
      <c r="D4281">
        <f>HYPERLINK("https://www.youtube.com/watch?v=kn90mcaUVDQ&amp;t=71s", "Go to time")</f>
        <v/>
      </c>
    </row>
    <row r="4282">
      <c r="A4282">
        <f>HYPERLINK("https://www.youtube.com/watch?v=kn90mcaUVDQ", "Video")</f>
        <v/>
      </c>
      <c r="B4282" t="inlineStr">
        <is>
          <t>1:17</t>
        </is>
      </c>
      <c r="C4282" t="inlineStr">
        <is>
          <t>ola's drivers also work for Uber the</t>
        </is>
      </c>
      <c r="D4282">
        <f>HYPERLINK("https://www.youtube.com/watch?v=kn90mcaUVDQ&amp;t=77s", "Go to time")</f>
        <v/>
      </c>
    </row>
    <row r="4283">
      <c r="A4283">
        <f>HYPERLINK("https://www.youtube.com/watch?v=kn90mcaUVDQ", "Video")</f>
        <v/>
      </c>
      <c r="B4283" t="inlineStr">
        <is>
          <t>1:21</t>
        </is>
      </c>
      <c r="C4283" t="inlineStr">
        <is>
          <t>from its larger pool of drivers Ola also</t>
        </is>
      </c>
      <c r="D4283">
        <f>HYPERLINK("https://www.youtube.com/watch?v=kn90mcaUVDQ&amp;t=81s", "Go to time")</f>
        <v/>
      </c>
    </row>
    <row r="4284">
      <c r="A4284">
        <f>HYPERLINK("https://www.youtube.com/watch?v=SfPD7e5ao98", "Video")</f>
        <v/>
      </c>
      <c r="B4284" t="inlineStr">
        <is>
          <t>0:59</t>
        </is>
      </c>
      <c r="C4284" t="inlineStr">
        <is>
          <t>in the second quarter, so drivers
who financed their vehicle</t>
        </is>
      </c>
      <c r="D4284">
        <f>HYPERLINK("https://www.youtube.com/watch?v=SfPD7e5ao98&amp;t=59s", "Go to time")</f>
        <v/>
      </c>
    </row>
    <row r="4285">
      <c r="A4285">
        <f>HYPERLINK("https://www.youtube.com/watch?v=_9RoFvPW7oo", "Video")</f>
        <v/>
      </c>
      <c r="B4285" t="inlineStr">
        <is>
          <t>1:22</t>
        </is>
      </c>
      <c r="C4285" t="inlineStr">
        <is>
          <t>The main driver of why China can move fast</t>
        </is>
      </c>
      <c r="D4285">
        <f>HYPERLINK("https://www.youtube.com/watch?v=_9RoFvPW7oo&amp;t=82s", "Go to time")</f>
        <v/>
      </c>
    </row>
    <row r="4286">
      <c r="A4286">
        <f>HYPERLINK("https://www.youtube.com/watch?v=uIllSiXVfmI", "Video")</f>
        <v/>
      </c>
      <c r="B4286" t="inlineStr">
        <is>
          <t>3:44</t>
        </is>
      </c>
      <c r="C4286" t="inlineStr">
        <is>
          <t>into the Rodeo Drive or the
Fifth Avenue of the metaverse.</t>
        </is>
      </c>
      <c r="D4286">
        <f>HYPERLINK("https://www.youtube.com/watch?v=uIllSiXVfmI&amp;t=224s", "Go to time")</f>
        <v/>
      </c>
    </row>
    <row r="4287">
      <c r="A4287">
        <f>HYPERLINK("https://www.youtube.com/watch?v=xwBPniHN0IY", "Video")</f>
        <v/>
      </c>
      <c r="B4287" t="inlineStr">
        <is>
          <t>0:11</t>
        </is>
      </c>
      <c r="C4287" t="inlineStr">
        <is>
          <t>it's an important driver of
economic growth because retail</t>
        </is>
      </c>
      <c r="D4287">
        <f>HYPERLINK("https://www.youtube.com/watch?v=xwBPniHN0IY&amp;t=11s", "Go to time")</f>
        <v/>
      </c>
    </row>
    <row r="4288">
      <c r="A4288">
        <f>HYPERLINK("https://www.youtube.com/watch?v=XCm13T1REl8", "Video")</f>
        <v/>
      </c>
      <c r="B4288" t="inlineStr">
        <is>
          <t>0:24</t>
        </is>
      </c>
      <c r="C4288" t="inlineStr">
        <is>
          <t>you more driven or did it make you want</t>
        </is>
      </c>
      <c r="D4288">
        <f>HYPERLINK("https://www.youtube.com/watch?v=XCm13T1REl8&amp;t=24s", "Go to time")</f>
        <v/>
      </c>
    </row>
    <row r="4289">
      <c r="A4289">
        <f>HYPERLINK("https://www.youtube.com/watch?v=XCm13T1REl8", "Video")</f>
        <v/>
      </c>
      <c r="B4289" t="inlineStr">
        <is>
          <t>0:53</t>
        </is>
      </c>
      <c r="C4289" t="inlineStr">
        <is>
          <t>a drive for life and you know some</t>
        </is>
      </c>
      <c r="D4289">
        <f>HYPERLINK("https://www.youtube.com/watch?v=XCm13T1REl8&amp;t=53s", "Go to time")</f>
        <v/>
      </c>
    </row>
    <row r="4290">
      <c r="A4290">
        <f>HYPERLINK("https://www.youtube.com/watch?v=XCm13T1REl8", "Video")</f>
        <v/>
      </c>
      <c r="B4290" t="inlineStr">
        <is>
          <t>1:07</t>
        </is>
      </c>
      <c r="C4290" t="inlineStr">
        <is>
          <t>driven to go out and do stuff and on a</t>
        </is>
      </c>
      <c r="D4290">
        <f>HYPERLINK("https://www.youtube.com/watch?v=XCm13T1REl8&amp;t=67s", "Go to time")</f>
        <v/>
      </c>
    </row>
    <row r="4291">
      <c r="A4291">
        <f>HYPERLINK("https://www.youtube.com/watch?v=Ej0wvdvKyCg", "Video")</f>
        <v/>
      </c>
      <c r="B4291" t="inlineStr">
        <is>
          <t>0:01</t>
        </is>
      </c>
      <c r="C4291" t="inlineStr">
        <is>
          <t>- Driverless taxi company
Cruise has had a bumpy month.</t>
        </is>
      </c>
      <c r="D4291">
        <f>HYPERLINK("https://www.youtube.com/watch?v=Ej0wvdvKyCg&amp;t=1s", "Go to time")</f>
        <v/>
      </c>
    </row>
    <row r="4292">
      <c r="A4292">
        <f>HYPERLINK("https://www.youtube.com/watch?v=Ej0wvdvKyCg", "Video")</f>
        <v/>
      </c>
      <c r="B4292" t="inlineStr">
        <is>
          <t>0:18</t>
        </is>
      </c>
      <c r="C4292" t="inlineStr">
        <is>
          <t>See, as driverless companies try</t>
        </is>
      </c>
      <c r="D4292">
        <f>HYPERLINK("https://www.youtube.com/watch?v=Ej0wvdvKyCg&amp;t=18s", "Go to time")</f>
        <v/>
      </c>
    </row>
    <row r="4293">
      <c r="A4293">
        <f>HYPERLINK("https://www.youtube.com/watch?v=Ej0wvdvKyCg", "Video")</f>
        <v/>
      </c>
      <c r="B4293" t="inlineStr">
        <is>
          <t>0:41</t>
        </is>
      </c>
      <c r="C4293" t="inlineStr">
        <is>
          <t>So how can driverless car
companies rebuild trust</t>
        </is>
      </c>
      <c r="D4293">
        <f>HYPERLINK("https://www.youtube.com/watch?v=Ej0wvdvKyCg&amp;t=41s", "Go to time")</f>
        <v/>
      </c>
    </row>
    <row r="4294">
      <c r="A4294">
        <f>HYPERLINK("https://www.youtube.com/watch?v=Ej0wvdvKyCg", "Video")</f>
        <v/>
      </c>
      <c r="B4294" t="inlineStr">
        <is>
          <t>0:58</t>
        </is>
      </c>
      <c r="C4294" t="inlineStr">
        <is>
          <t>and fell into the path of a
driverless Cruise vehicle.</t>
        </is>
      </c>
      <c r="D4294">
        <f>HYPERLINK("https://www.youtube.com/watch?v=Ej0wvdvKyCg&amp;t=58s", "Go to time")</f>
        <v/>
      </c>
    </row>
    <row r="4295">
      <c r="A4295">
        <f>HYPERLINK("https://www.youtube.com/watch?v=Ej0wvdvKyCg", "Video")</f>
        <v/>
      </c>
      <c r="B4295" t="inlineStr">
        <is>
          <t>1:30</t>
        </is>
      </c>
      <c r="C4295" t="inlineStr">
        <is>
          <t>California's DMV then suspended
Cruise's driverless license</t>
        </is>
      </c>
      <c r="D4295">
        <f>HYPERLINK("https://www.youtube.com/watch?v=Ej0wvdvKyCg&amp;t=90s", "Go to time")</f>
        <v/>
      </c>
    </row>
    <row r="4296">
      <c r="A4296">
        <f>HYPERLINK("https://www.youtube.com/watch?v=Ej0wvdvKyCg", "Video")</f>
        <v/>
      </c>
      <c r="B4296" t="inlineStr">
        <is>
          <t>1:44</t>
        </is>
      </c>
      <c r="C4296" t="inlineStr">
        <is>
          <t>to be conducting driverless operations</t>
        </is>
      </c>
      <c r="D4296">
        <f>HYPERLINK("https://www.youtube.com/watch?v=Ej0wvdvKyCg&amp;t=104s", "Go to time")</f>
        <v/>
      </c>
    </row>
    <row r="4297">
      <c r="A4297">
        <f>HYPERLINK("https://www.youtube.com/watch?v=Ej0wvdvKyCg", "Video")</f>
        <v/>
      </c>
      <c r="B4297" t="inlineStr">
        <is>
          <t>2:20</t>
        </is>
      </c>
      <c r="C4297" t="inlineStr">
        <is>
          <t>to resume driverless
operations in California.</t>
        </is>
      </c>
      <c r="D4297">
        <f>HYPERLINK("https://www.youtube.com/watch?v=Ej0wvdvKyCg&amp;t=140s", "Go to time")</f>
        <v/>
      </c>
    </row>
    <row r="4298">
      <c r="A4298">
        <f>HYPERLINK("https://www.youtube.com/watch?v=Ej0wvdvKyCg", "Video")</f>
        <v/>
      </c>
      <c r="B4298" t="inlineStr">
        <is>
          <t>2:40</t>
        </is>
      </c>
      <c r="C4298" t="inlineStr">
        <is>
          <t>is a sign that driverless technology</t>
        </is>
      </c>
      <c r="D4298">
        <f>HYPERLINK("https://www.youtube.com/watch?v=Ej0wvdvKyCg&amp;t=160s", "Go to time")</f>
        <v/>
      </c>
    </row>
    <row r="4299">
      <c r="A4299">
        <f>HYPERLINK("https://www.youtube.com/watch?v=Ej0wvdvKyCg", "Video")</f>
        <v/>
      </c>
      <c r="B4299" t="inlineStr">
        <is>
          <t>2:59</t>
        </is>
      </c>
      <c r="C4299" t="inlineStr">
        <is>
          <t>- Now, Cruise isn't the
only driverless car company</t>
        </is>
      </c>
      <c r="D4299">
        <f>HYPERLINK("https://www.youtube.com/watch?v=Ej0wvdvKyCg&amp;t=179s", "Go to time")</f>
        <v/>
      </c>
    </row>
    <row r="4300">
      <c r="A4300">
        <f>HYPERLINK("https://www.youtube.com/watch?v=Ej0wvdvKyCg", "Video")</f>
        <v/>
      </c>
      <c r="B4300" t="inlineStr">
        <is>
          <t>3:21</t>
        </is>
      </c>
      <c r="C4300" t="inlineStr">
        <is>
          <t>how much further driverless
technology will have to go</t>
        </is>
      </c>
      <c r="D4300">
        <f>HYPERLINK("https://www.youtube.com/watch?v=Ej0wvdvKyCg&amp;t=201s", "Go to time")</f>
        <v/>
      </c>
    </row>
    <row r="4301">
      <c r="A4301">
        <f>HYPERLINK("https://www.youtube.com/watch?v=Ej0wvdvKyCg", "Video")</f>
        <v/>
      </c>
      <c r="B4301" t="inlineStr">
        <is>
          <t>4:03</t>
        </is>
      </c>
      <c r="C4301" t="inlineStr">
        <is>
          <t>that happen just like, if a driver,</t>
        </is>
      </c>
      <c r="D4301">
        <f>HYPERLINK("https://www.youtube.com/watch?v=Ej0wvdvKyCg&amp;t=243s", "Go to time")</f>
        <v/>
      </c>
    </row>
    <row r="4302">
      <c r="A4302">
        <f>HYPERLINK("https://www.youtube.com/watch?v=Ej0wvdvKyCg", "Video")</f>
        <v/>
      </c>
      <c r="B4302" t="inlineStr">
        <is>
          <t>4:05</t>
        </is>
      </c>
      <c r="C4302" t="inlineStr">
        <is>
          <t>a human driver gets into a crash</t>
        </is>
      </c>
      <c r="D4302">
        <f>HYPERLINK("https://www.youtube.com/watch?v=Ej0wvdvKyCg&amp;t=245s", "Go to time")</f>
        <v/>
      </c>
    </row>
    <row r="4303">
      <c r="A4303">
        <f>HYPERLINK("https://www.youtube.com/watch?v=Ak_A2uAxIYA", "Video")</f>
        <v/>
      </c>
      <c r="B4303" t="inlineStr">
        <is>
          <t>9:22</t>
        </is>
      </c>
      <c r="C4303" t="inlineStr">
        <is>
          <t>So there's no driver for us to go public.</t>
        </is>
      </c>
      <c r="D4303">
        <f>HYPERLINK("https://www.youtube.com/watch?v=Ak_A2uAxIYA&amp;t=562s", "Go to time")</f>
        <v/>
      </c>
    </row>
    <row r="4304">
      <c r="A4304">
        <f>HYPERLINK("https://www.youtube.com/watch?v=3I9_MObC8ig", "Video")</f>
        <v/>
      </c>
      <c r="B4304" t="inlineStr">
        <is>
          <t>2:11</t>
        </is>
      </c>
      <c r="C4304" t="inlineStr">
        <is>
          <t>and it continues to be
a significant driver</t>
        </is>
      </c>
      <c r="D4304">
        <f>HYPERLINK("https://www.youtube.com/watch?v=3I9_MObC8ig&amp;t=131s", "Go to time")</f>
        <v/>
      </c>
    </row>
    <row r="4305">
      <c r="A4305">
        <f>HYPERLINK("https://www.youtube.com/watch?v=3I9_MObC8ig", "Video")</f>
        <v/>
      </c>
      <c r="B4305" t="inlineStr">
        <is>
          <t>2:46</t>
        </is>
      </c>
      <c r="C4305" t="inlineStr">
        <is>
          <t>for every cover that they drive in,</t>
        </is>
      </c>
      <c r="D4305">
        <f>HYPERLINK("https://www.youtube.com/watch?v=3I9_MObC8ig&amp;t=166s", "Go to time")</f>
        <v/>
      </c>
    </row>
    <row r="4306">
      <c r="A4306">
        <f>HYPERLINK("https://www.youtube.com/watch?v=3I9_MObC8ig", "Video")</f>
        <v/>
      </c>
      <c r="B4306" t="inlineStr">
        <is>
          <t>3:02</t>
        </is>
      </c>
      <c r="C4306" t="inlineStr">
        <is>
          <t>to drive even more
awareness of your brand,</t>
        </is>
      </c>
      <c r="D4306">
        <f>HYPERLINK("https://www.youtube.com/watch?v=3I9_MObC8ig&amp;t=182s", "Go to time")</f>
        <v/>
      </c>
    </row>
    <row r="4307">
      <c r="A4307">
        <f>HYPERLINK("https://www.youtube.com/watch?v=3I9_MObC8ig", "Video")</f>
        <v/>
      </c>
      <c r="B4307" t="inlineStr">
        <is>
          <t>8:16</t>
        </is>
      </c>
      <c r="C4307" t="inlineStr">
        <is>
          <t>we are on this journey
to continue to drive</t>
        </is>
      </c>
      <c r="D4307">
        <f>HYPERLINK("https://www.youtube.com/watch?v=3I9_MObC8ig&amp;t=496s", "Go to time")</f>
        <v/>
      </c>
    </row>
    <row r="4308">
      <c r="A4308">
        <f>HYPERLINK("https://www.youtube.com/watch?v=mAeeMC1W848", "Video")</f>
        <v/>
      </c>
      <c r="B4308" t="inlineStr">
        <is>
          <t>2:05</t>
        </is>
      </c>
      <c r="C4308" t="inlineStr">
        <is>
          <t>truck drivers blocked
roads across the country</t>
        </is>
      </c>
      <c r="D4308">
        <f>HYPERLINK("https://www.youtube.com/watch?v=mAeeMC1W848&amp;t=125s", "Go to time")</f>
        <v/>
      </c>
    </row>
    <row r="4309">
      <c r="A4309">
        <f>HYPERLINK("https://www.youtube.com/watch?v=ZPbPFqqsF-k", "Video")</f>
        <v/>
      </c>
      <c r="B4309" t="inlineStr">
        <is>
          <t>0:22</t>
        </is>
      </c>
      <c r="C4309" t="inlineStr">
        <is>
          <t>women with hsdd or hypoactive sex drive</t>
        </is>
      </c>
      <c r="D4309">
        <f>HYPERLINK("https://www.youtube.com/watch?v=ZPbPFqqsF-k&amp;t=22s", "Go to time")</f>
        <v/>
      </c>
    </row>
    <row r="4310">
      <c r="A4310">
        <f>HYPERLINK("https://www.youtube.com/watch?v=6fk8paHf5mw", "Video")</f>
        <v/>
      </c>
      <c r="B4310" t="inlineStr">
        <is>
          <t>7:40</t>
        </is>
      </c>
      <c r="C4310" t="inlineStr">
        <is>
          <t>turn around in this little driveway</t>
        </is>
      </c>
      <c r="D4310">
        <f>HYPERLINK("https://www.youtube.com/watch?v=6fk8paHf5mw&amp;t=460s", "Go to time")</f>
        <v/>
      </c>
    </row>
    <row r="4311">
      <c r="A4311">
        <f>HYPERLINK("https://www.youtube.com/watch?v=6fk8paHf5mw", "Video")</f>
        <v/>
      </c>
      <c r="B4311" t="inlineStr">
        <is>
          <t>8:11</t>
        </is>
      </c>
      <c r="C4311" t="inlineStr">
        <is>
          <t>that driveway you know journalist</t>
        </is>
      </c>
      <c r="D4311">
        <f>HYPERLINK("https://www.youtube.com/watch?v=6fk8paHf5mw&amp;t=491s", "Go to time")</f>
        <v/>
      </c>
    </row>
    <row r="4312">
      <c r="A4312">
        <f>HYPERLINK("https://www.youtube.com/watch?v=6fk8paHf5mw", "Video")</f>
        <v/>
      </c>
      <c r="B4312" t="inlineStr">
        <is>
          <t>9:45</t>
        </is>
      </c>
      <c r="C4312" t="inlineStr">
        <is>
          <t>go drive from the South Valley all the</t>
        </is>
      </c>
      <c r="D4312">
        <f>HYPERLINK("https://www.youtube.com/watch?v=6fk8paHf5mw&amp;t=585s", "Go to time")</f>
        <v/>
      </c>
    </row>
    <row r="4313">
      <c r="A4313">
        <f>HYPERLINK("https://www.youtube.com/watch?v=y9t1N2wRvjc", "Video")</f>
        <v/>
      </c>
      <c r="B4313" t="inlineStr">
        <is>
          <t>0:18</t>
        </is>
      </c>
      <c r="C4313" t="inlineStr">
        <is>
          <t>lane change got your driver's license</t>
        </is>
      </c>
      <c r="D4313">
        <f>HYPERLINK("https://www.youtube.com/watch?v=y9t1N2wRvjc&amp;t=18s", "Go to time")</f>
        <v/>
      </c>
    </row>
    <row r="4314">
      <c r="A4314">
        <f>HYPERLINK("https://www.youtube.com/watch?v=EUyHxM98Bo8", "Video")</f>
        <v/>
      </c>
      <c r="B4314" t="inlineStr">
        <is>
          <t>0:35</t>
        </is>
      </c>
      <c r="C4314" t="inlineStr">
        <is>
          <t>change waring's image drive up its</t>
        </is>
      </c>
      <c r="D4314">
        <f>HYPERLINK("https://www.youtube.com/watch?v=EUyHxM98Bo8&amp;t=35s", "Go to time")</f>
        <v/>
      </c>
    </row>
    <row r="4315">
      <c r="A4315">
        <f>HYPERLINK("https://www.youtube.com/watch?v=VHu4Z3hHs_U", "Video")</f>
        <v/>
      </c>
      <c r="B4315" t="inlineStr">
        <is>
          <t>1:51</t>
        </is>
      </c>
      <c r="C4315" t="inlineStr">
        <is>
          <t>know it can really drive you nuts if</t>
        </is>
      </c>
      <c r="D4315">
        <f>HYPERLINK("https://www.youtube.com/watch?v=VHu4Z3hHs_U&amp;t=111s", "Go to time")</f>
        <v/>
      </c>
    </row>
    <row r="4316">
      <c r="A4316">
        <f>HYPERLINK("https://www.youtube.com/watch?v=dtBuBZdnB8o", "Video")</f>
        <v/>
      </c>
      <c r="B4316" t="inlineStr">
        <is>
          <t>0:05</t>
        </is>
      </c>
      <c r="C4316" t="inlineStr">
        <is>
          <t>families won't be driven into bankruptcy</t>
        </is>
      </c>
      <c r="D4316">
        <f>HYPERLINK("https://www.youtube.com/watch?v=dtBuBZdnB8o&amp;t=5s", "Go to time")</f>
        <v/>
      </c>
    </row>
    <row r="4317">
      <c r="A4317">
        <f>HYPERLINK("https://www.youtube.com/watch?v=wvyjiTitOkI", "Video")</f>
        <v/>
      </c>
      <c r="B4317" t="inlineStr">
        <is>
          <t>0:17</t>
        </is>
      </c>
      <c r="C4317" t="inlineStr">
        <is>
          <t>The vast price differences are driven</t>
        </is>
      </c>
      <c r="D4317">
        <f>HYPERLINK("https://www.youtube.com/watch?v=wvyjiTitOkI&amp;t=17s", "Go to time")</f>
        <v/>
      </c>
    </row>
    <row r="4318">
      <c r="A4318">
        <f>HYPERLINK("https://www.youtube.com/watch?v=JNWdezmou7A", "Video")</f>
        <v/>
      </c>
      <c r="B4318" t="inlineStr">
        <is>
          <t>2:11</t>
        </is>
      </c>
      <c r="C4318" t="inlineStr">
        <is>
          <t>drive a Tesla and I'm not able to D test</t>
        </is>
      </c>
      <c r="D4318">
        <f>HYPERLINK("https://www.youtube.com/watch?v=JNWdezmou7A&amp;t=131s", "Go to time")</f>
        <v/>
      </c>
    </row>
    <row r="4319">
      <c r="A4319">
        <f>HYPERLINK("https://www.youtube.com/watch?v=JNWdezmou7A", "Video")</f>
        <v/>
      </c>
      <c r="B4319" t="inlineStr">
        <is>
          <t>2:13</t>
        </is>
      </c>
      <c r="C4319" t="inlineStr">
        <is>
          <t>drive a Tesla just haven't had the time</t>
        </is>
      </c>
      <c r="D4319">
        <f>HYPERLINK("https://www.youtube.com/watch?v=JNWdezmou7A&amp;t=133s", "Go to time")</f>
        <v/>
      </c>
    </row>
    <row r="4320">
      <c r="A4320">
        <f>HYPERLINK("https://www.youtube.com/watch?v=JNWdezmou7A", "Video")</f>
        <v/>
      </c>
      <c r="B4320" t="inlineStr">
        <is>
          <t>2:18</t>
        </is>
      </c>
      <c r="C4320" t="inlineStr">
        <is>
          <t>to test drive my own Tesla and I get to</t>
        </is>
      </c>
      <c r="D4320">
        <f>HYPERLINK("https://www.youtube.com/watch?v=JNWdezmou7A&amp;t=138s", "Go to time")</f>
        <v/>
      </c>
    </row>
    <row r="4321">
      <c r="A4321">
        <f>HYPERLINK("https://www.youtube.com/watch?v=mTsGl9HgzjE", "Video")</f>
        <v/>
      </c>
      <c r="B4321" t="inlineStr">
        <is>
          <t>2:49</t>
        </is>
      </c>
      <c r="C4321" t="inlineStr">
        <is>
          <t>and a quick 128 GB solid state drive</t>
        </is>
      </c>
      <c r="D4321">
        <f>HYPERLINK("https://www.youtube.com/watch?v=mTsGl9HgzjE&amp;t=169s", "Go to time")</f>
        <v/>
      </c>
    </row>
    <row r="4322">
      <c r="A4322">
        <f>HYPERLINK("https://www.youtube.com/watch?v=N0fvkRWQSwg", "Video")</f>
        <v/>
      </c>
      <c r="B4322" t="inlineStr">
        <is>
          <t>3:57</t>
        </is>
      </c>
      <c r="C4322" t="inlineStr">
        <is>
          <t>drove and you're not supposed to drive</t>
        </is>
      </c>
      <c r="D4322">
        <f>HYPERLINK("https://www.youtube.com/watch?v=N0fvkRWQSwg&amp;t=237s", "Go to time")</f>
        <v/>
      </c>
    </row>
    <row r="4323">
      <c r="A4323">
        <f>HYPERLINK("https://www.youtube.com/watch?v=ld83cEXqBWA", "Video")</f>
        <v/>
      </c>
      <c r="B4323" t="inlineStr">
        <is>
          <t>0:12</t>
        </is>
      </c>
      <c r="C4323" t="inlineStr">
        <is>
          <t>one car to drive for the rest of his</t>
        </is>
      </c>
      <c r="D4323">
        <f>HYPERLINK("https://www.youtube.com/watch?v=ld83cEXqBWA&amp;t=12s", "Go to time")</f>
        <v/>
      </c>
    </row>
    <row r="4324">
      <c r="A4324">
        <f>HYPERLINK("https://www.youtube.com/watch?v=ld83cEXqBWA", "Video")</f>
        <v/>
      </c>
      <c r="B4324" t="inlineStr">
        <is>
          <t>2:32</t>
        </is>
      </c>
      <c r="C4324" t="inlineStr">
        <is>
          <t>is your job. So, how does this drive?</t>
        </is>
      </c>
      <c r="D4324">
        <f>HYPERLINK("https://www.youtube.com/watch?v=ld83cEXqBWA&amp;t=152s", "Go to time")</f>
        <v/>
      </c>
    </row>
    <row r="4325">
      <c r="A4325">
        <f>HYPERLINK("https://www.youtube.com/watch?v=ld83cEXqBWA", "Video")</f>
        <v/>
      </c>
      <c r="B4325" t="inlineStr">
        <is>
          <t>2:36</t>
        </is>
      </c>
      <c r="C4325" t="inlineStr">
        <is>
          <t>aspect. It drives like a you know,</t>
        </is>
      </c>
      <c r="D4325">
        <f>HYPERLINK("https://www.youtube.com/watch?v=ld83cEXqBWA&amp;t=156s", "Go to time")</f>
        <v/>
      </c>
    </row>
    <row r="4326">
      <c r="A4326">
        <f>HYPERLINK("https://www.youtube.com/watch?v=ld83cEXqBWA", "Video")</f>
        <v/>
      </c>
      <c r="B4326" t="inlineStr">
        <is>
          <t>2:39</t>
        </is>
      </c>
      <c r="C4326" t="inlineStr">
        <is>
          <t>drives like a slow uh luxury car is what</t>
        </is>
      </c>
      <c r="D4326">
        <f>HYPERLINK("https://www.youtube.com/watch?v=ld83cEXqBWA&amp;t=159s", "Go to time")</f>
        <v/>
      </c>
    </row>
    <row r="4327">
      <c r="A4327">
        <f>HYPERLINK("https://www.youtube.com/watch?v=ld83cEXqBWA", "Video")</f>
        <v/>
      </c>
      <c r="B4327" t="inlineStr">
        <is>
          <t>2:42</t>
        </is>
      </c>
      <c r="C4327" t="inlineStr">
        <is>
          <t>it drives like. Uh it is super quiet.</t>
        </is>
      </c>
      <c r="D4327">
        <f>HYPERLINK("https://www.youtube.com/watch?v=ld83cEXqBWA&amp;t=162s", "Go to time")</f>
        <v/>
      </c>
    </row>
    <row r="4328">
      <c r="A4328">
        <f>HYPERLINK("https://www.youtube.com/watch?v=vglly9zkXRs", "Video")</f>
        <v/>
      </c>
      <c r="B4328" t="inlineStr">
        <is>
          <t>2:45</t>
        </is>
      </c>
      <c r="C4328" t="inlineStr">
        <is>
          <t>Drive this is all about the captivity</t>
        </is>
      </c>
      <c r="D4328">
        <f>HYPERLINK("https://www.youtube.com/watch?v=vglly9zkXRs&amp;t=165s", "Go to time")</f>
        <v/>
      </c>
    </row>
    <row r="4329">
      <c r="A4329">
        <f>HYPERLINK("https://www.youtube.com/watch?v=vglly9zkXRs", "Video")</f>
        <v/>
      </c>
      <c r="B4329" t="inlineStr">
        <is>
          <t>4:44</t>
        </is>
      </c>
      <c r="C4329" t="inlineStr">
        <is>
          <t>every night if a dolphin Drive happens</t>
        </is>
      </c>
      <c r="D4329">
        <f>HYPERLINK("https://www.youtube.com/watch?v=vglly9zkXRs&amp;t=284s", "Go to time")</f>
        <v/>
      </c>
    </row>
    <row r="4330">
      <c r="A4330">
        <f>HYPERLINK("https://www.youtube.com/watch?v=ZjA-L_tesPg", "Video")</f>
        <v/>
      </c>
      <c r="B4330" t="inlineStr">
        <is>
          <t>3:06</t>
        </is>
      </c>
      <c r="C4330" t="inlineStr">
        <is>
          <t>culdesac there's a guy who drives a</t>
        </is>
      </c>
      <c r="D4330">
        <f>HYPERLINK("https://www.youtube.com/watch?v=ZjA-L_tesPg&amp;t=186s", "Go to time")</f>
        <v/>
      </c>
    </row>
    <row r="4331">
      <c r="A4331">
        <f>HYPERLINK("https://www.youtube.com/watch?v=ZjA-L_tesPg", "Video")</f>
        <v/>
      </c>
      <c r="B4331" t="inlineStr">
        <is>
          <t>3:08</t>
        </is>
      </c>
      <c r="C4331" t="inlineStr">
        <is>
          <t>jaguar and I drive a Volkswagen but when</t>
        </is>
      </c>
      <c r="D4331">
        <f>HYPERLINK("https://www.youtube.com/watch?v=ZjA-L_tesPg&amp;t=188s", "Go to time")</f>
        <v/>
      </c>
    </row>
    <row r="4332">
      <c r="A4332">
        <f>HYPERLINK("https://www.youtube.com/watch?v=ZjA-L_tesPg", "Video")</f>
        <v/>
      </c>
      <c r="B4332" t="inlineStr">
        <is>
          <t>3:11</t>
        </is>
      </c>
      <c r="C4332" t="inlineStr">
        <is>
          <t>you drive down the block and our garage</t>
        </is>
      </c>
      <c r="D4332">
        <f>HYPERLINK("https://www.youtube.com/watch?v=ZjA-L_tesPg&amp;t=191s", "Go to time")</f>
        <v/>
      </c>
    </row>
    <row r="4333">
      <c r="A4333">
        <f>HYPERLINK("https://www.youtube.com/watch?v=LGME8ViX-0M", "Video")</f>
        <v/>
      </c>
      <c r="B4333" t="inlineStr">
        <is>
          <t>0:49</t>
        </is>
      </c>
      <c r="C4333" t="inlineStr">
        <is>
          <t>California driver's licenses and that</t>
        </is>
      </c>
      <c r="D4333">
        <f>HYPERLINK("https://www.youtube.com/watch?v=LGME8ViX-0M&amp;t=49s", "Go to time")</f>
        <v/>
      </c>
    </row>
    <row r="4334">
      <c r="A4334">
        <f>HYPERLINK("https://www.youtube.com/watch?v=LGME8ViX-0M", "Video")</f>
        <v/>
      </c>
      <c r="B4334" t="inlineStr">
        <is>
          <t>3:09</t>
        </is>
      </c>
      <c r="C4334" t="inlineStr">
        <is>
          <t>driver license that were falsified so uh</t>
        </is>
      </c>
      <c r="D4334">
        <f>HYPERLINK("https://www.youtube.com/watch?v=LGME8ViX-0M&amp;t=189s", "Go to time")</f>
        <v/>
      </c>
    </row>
    <row r="4335">
      <c r="A4335">
        <f>HYPERLINK("https://www.youtube.com/watch?v=7pP54aby2C0", "Video")</f>
        <v/>
      </c>
      <c r="B4335" t="inlineStr">
        <is>
          <t>1:33</t>
        </is>
      </c>
      <c r="C4335" t="inlineStr">
        <is>
          <t>drives us is the brain the artificial</t>
        </is>
      </c>
      <c r="D4335">
        <f>HYPERLINK("https://www.youtube.com/watch?v=7pP54aby2C0&amp;t=93s", "Go to time")</f>
        <v/>
      </c>
    </row>
    <row r="4336">
      <c r="A4336">
        <f>HYPERLINK("https://www.youtube.com/watch?v=UJ2e-BfDog8", "Video")</f>
        <v/>
      </c>
      <c r="B4336" t="inlineStr">
        <is>
          <t>0:00</t>
        </is>
      </c>
      <c r="C4336" t="inlineStr">
        <is>
          <t>L shift gears to money the driver of</t>
        </is>
      </c>
      <c r="D4336">
        <f>HYPERLINK("https://www.youtube.com/watch?v=UJ2e-BfDog8&amp;t=0s", "Go to time")</f>
        <v/>
      </c>
    </row>
    <row r="4337">
      <c r="A4337">
        <f>HYPERLINK("https://www.youtube.com/watch?v=UJ2e-BfDog8", "Video")</f>
        <v/>
      </c>
      <c r="B4337" t="inlineStr">
        <is>
          <t>0:09</t>
        </is>
      </c>
      <c r="C4337" t="inlineStr">
        <is>
          <t>media companies going forward the driver</t>
        </is>
      </c>
      <c r="D4337">
        <f>HYPERLINK("https://www.youtube.com/watch?v=UJ2e-BfDog8&amp;t=9s", "Go to time")</f>
        <v/>
      </c>
    </row>
    <row r="4338">
      <c r="A4338">
        <f>HYPERLINK("https://www.youtube.com/watch?v=9z9sYCoPFH4", "Video")</f>
        <v/>
      </c>
      <c r="B4338" t="inlineStr">
        <is>
          <t>0:38</t>
        </is>
      </c>
      <c r="C4338" t="inlineStr">
        <is>
          <t>kit if you will to design to drive you</t>
        </is>
      </c>
      <c r="D4338">
        <f>HYPERLINK("https://www.youtube.com/watch?v=9z9sYCoPFH4&amp;t=38s", "Go to time")</f>
        <v/>
      </c>
    </row>
    <row r="4339">
      <c r="A4339">
        <f>HYPERLINK("https://www.youtube.com/watch?v=uUFh3bpq-bA", "Video")</f>
        <v/>
      </c>
      <c r="B4339" t="inlineStr">
        <is>
          <t>1:02</t>
        </is>
      </c>
      <c r="C4339" t="inlineStr">
        <is>
          <t>others prepared to drive across the</t>
        </is>
      </c>
      <c r="D4339">
        <f>HYPERLINK("https://www.youtube.com/watch?v=uUFh3bpq-bA&amp;t=62s", "Go to time")</f>
        <v/>
      </c>
    </row>
    <row r="4340">
      <c r="A4340">
        <f>HYPERLINK("https://www.youtube.com/watch?v=SbDiyACmwNc", "Video")</f>
        <v/>
      </c>
      <c r="B4340" t="inlineStr">
        <is>
          <t>1:03</t>
        </is>
      </c>
      <c r="C4340" t="inlineStr">
        <is>
          <t>Rodeo Drive happens to have a Confluence</t>
        </is>
      </c>
      <c r="D4340">
        <f>HYPERLINK("https://www.youtube.com/watch?v=SbDiyACmwNc&amp;t=63s", "Go to time")</f>
        <v/>
      </c>
    </row>
    <row r="4341">
      <c r="A4341">
        <f>HYPERLINK("https://www.youtube.com/watch?v=SbDiyACmwNc", "Video")</f>
        <v/>
      </c>
      <c r="B4341" t="inlineStr">
        <is>
          <t>1:11</t>
        </is>
      </c>
      <c r="C4341" t="inlineStr">
        <is>
          <t>overlooking the drive where people can</t>
        </is>
      </c>
      <c r="D4341">
        <f>HYPERLINK("https://www.youtube.com/watch?v=SbDiyACmwNc&amp;t=71s", "Go to time")</f>
        <v/>
      </c>
    </row>
    <row r="4342">
      <c r="A4342">
        <f>HYPERLINK("https://www.youtube.com/watch?v=y-E-cCuvMEI", "Video")</f>
        <v/>
      </c>
      <c r="B4342" t="inlineStr">
        <is>
          <t>0:35</t>
        </is>
      </c>
      <c r="C4342" t="inlineStr">
        <is>
          <t>business under glo's management drivers</t>
        </is>
      </c>
      <c r="D4342">
        <f>HYPERLINK("https://www.youtube.com/watch?v=y-E-cCuvMEI&amp;t=35s", "Go to time")</f>
        <v/>
      </c>
    </row>
    <row r="4343">
      <c r="A4343">
        <f>HYPERLINK("https://www.youtube.com/watch?v=M0zFU6TOAeI", "Video")</f>
        <v/>
      </c>
      <c r="B4343" t="inlineStr">
        <is>
          <t>0:24</t>
        </is>
      </c>
      <c r="C4343" t="inlineStr">
        <is>
          <t>kid driver 911 yes this is Jim I have a</t>
        </is>
      </c>
      <c r="D4343">
        <f>HYPERLINK("https://www.youtube.com/watch?v=M0zFU6TOAeI&amp;t=24s", "Go to time")</f>
        <v/>
      </c>
    </row>
    <row r="4344">
      <c r="A4344">
        <f>HYPERLINK("https://www.youtube.com/watch?v=TrdLYWmrus0", "Video")</f>
        <v/>
      </c>
      <c r="B4344" t="inlineStr">
        <is>
          <t>0:47</t>
        </is>
      </c>
      <c r="C4344" t="inlineStr">
        <is>
          <t>data driven and made a bazillion dollars</t>
        </is>
      </c>
      <c r="D4344">
        <f>HYPERLINK("https://www.youtube.com/watch?v=TrdLYWmrus0&amp;t=47s", "Go to time")</f>
        <v/>
      </c>
    </row>
    <row r="4345">
      <c r="A4345">
        <f>HYPERLINK("https://www.youtube.com/watch?v=mTTW8RDJUEE", "Video")</f>
        <v/>
      </c>
      <c r="B4345" t="inlineStr">
        <is>
          <t>2:00</t>
        </is>
      </c>
      <c r="C4345" t="inlineStr">
        <is>
          <t>who knew that incentives
could drive behavior.</t>
        </is>
      </c>
      <c r="D4345">
        <f>HYPERLINK("https://www.youtube.com/watch?v=mTTW8RDJUEE&amp;t=120s", "Go to time")</f>
        <v/>
      </c>
    </row>
    <row r="4346">
      <c r="A4346">
        <f>HYPERLINK("https://www.youtube.com/watch?v=Mp_6X8Gbbe4", "Video")</f>
        <v/>
      </c>
      <c r="B4346" t="inlineStr">
        <is>
          <t>6:31</t>
        </is>
      </c>
      <c r="C4346" t="inlineStr">
        <is>
          <t>that the drive-through could
solve the entire business.</t>
        </is>
      </c>
      <c r="D4346">
        <f>HYPERLINK("https://www.youtube.com/watch?v=Mp_6X8Gbbe4&amp;t=391s", "Go to time")</f>
        <v/>
      </c>
    </row>
    <row r="4347">
      <c r="A4347">
        <f>HYPERLINK("https://www.youtube.com/watch?v=Mp_6X8Gbbe4", "Video")</f>
        <v/>
      </c>
      <c r="B4347" t="inlineStr">
        <is>
          <t>6:38</t>
        </is>
      </c>
      <c r="C4347" t="inlineStr">
        <is>
          <t>to just drive everything
through our rewards program.</t>
        </is>
      </c>
      <c r="D4347">
        <f>HYPERLINK("https://www.youtube.com/watch?v=Mp_6X8Gbbe4&amp;t=398s", "Go to time")</f>
        <v/>
      </c>
    </row>
    <row r="4348">
      <c r="A4348">
        <f>HYPERLINK("https://www.youtube.com/watch?v=0KWehtnwn8U", "Video")</f>
        <v/>
      </c>
      <c r="B4348" t="inlineStr">
        <is>
          <t>1:16</t>
        </is>
      </c>
      <c r="C4348" t="inlineStr">
        <is>
          <t>their EV toll versus a 49 minute drive</t>
        </is>
      </c>
      <c r="D4348">
        <f>HYPERLINK("https://www.youtube.com/watch?v=0KWehtnwn8U&amp;t=76s", "Go to time")</f>
        <v/>
      </c>
    </row>
    <row r="4349">
      <c r="A4349">
        <f>HYPERLINK("https://www.youtube.com/watch?v=qAuF4wlSQnk", "Video")</f>
        <v/>
      </c>
      <c r="B4349" t="inlineStr">
        <is>
          <t>0:17</t>
        </is>
      </c>
      <c r="C4349" t="inlineStr">
        <is>
          <t>of dollars in equities, driven by the rise</t>
        </is>
      </c>
      <c r="D4349">
        <f>HYPERLINK("https://www.youtube.com/watch?v=qAuF4wlSQnk&amp;t=17s", "Go to time")</f>
        <v/>
      </c>
    </row>
    <row r="4350">
      <c r="A4350">
        <f>HYPERLINK("https://www.youtube.com/watch?v=kPAm6Wx2fo0", "Video")</f>
        <v/>
      </c>
      <c r="B4350" t="inlineStr">
        <is>
          <t>0:25</t>
        </is>
      </c>
      <c r="C4350" t="inlineStr">
        <is>
          <t>passengers and drivers are increasingly</t>
        </is>
      </c>
      <c r="D4350">
        <f>HYPERLINK("https://www.youtube.com/watch?v=kPAm6Wx2fo0&amp;t=25s", "Go to time")</f>
        <v/>
      </c>
    </row>
    <row r="4351">
      <c r="A4351">
        <f>HYPERLINK("https://www.youtube.com/watch?v=nq_gYVXOuxc", "Video")</f>
        <v/>
      </c>
      <c r="B4351" t="inlineStr">
        <is>
          <t>0:48</t>
        </is>
      </c>
      <c r="C4351" t="inlineStr">
        <is>
          <t>driver in late December a spokeswoman</t>
        </is>
      </c>
      <c r="D4351">
        <f>HYPERLINK("https://www.youtube.com/watch?v=nq_gYVXOuxc&amp;t=48s", "Go to time")</f>
        <v/>
      </c>
    </row>
    <row r="4352">
      <c r="A4352">
        <f>HYPERLINK("https://www.youtube.com/watch?v=HuHnr3Y1MmY", "Video")</f>
        <v/>
      </c>
      <c r="B4352" t="inlineStr">
        <is>
          <t>0:32</t>
        </is>
      </c>
      <c r="C4352" t="inlineStr">
        <is>
          <t>lady jack only employs female drivers</t>
        </is>
      </c>
      <c r="D4352">
        <f>HYPERLINK("https://www.youtube.com/watch?v=HuHnr3Y1MmY&amp;t=32s", "Go to time")</f>
        <v/>
      </c>
    </row>
    <row r="4353">
      <c r="A4353">
        <f>HYPERLINK("https://www.youtube.com/watch?v=HuHnr3Y1MmY", "Video")</f>
        <v/>
      </c>
      <c r="B4353" t="inlineStr">
        <is>
          <t>0:56</t>
        </is>
      </c>
      <c r="C4353" t="inlineStr">
        <is>
          <t>driver carries an alarm bell lady jack</t>
        </is>
      </c>
      <c r="D4353">
        <f>HYPERLINK("https://www.youtube.com/watch?v=HuHnr3Y1MmY&amp;t=56s", "Go to time")</f>
        <v/>
      </c>
    </row>
    <row r="4354">
      <c r="A4354">
        <f>HYPERLINK("https://www.youtube.com/watch?v=HuHnr3Y1MmY", "Video")</f>
        <v/>
      </c>
      <c r="B4354" t="inlineStr">
        <is>
          <t>1:25</t>
        </is>
      </c>
      <c r="C4354" t="inlineStr">
        <is>
          <t>it already has 2200 drivers across</t>
        </is>
      </c>
      <c r="D4354">
        <f>HYPERLINK("https://www.youtube.com/watch?v=HuHnr3Y1MmY&amp;t=85s", "Go to time")</f>
        <v/>
      </c>
    </row>
    <row r="4355">
      <c r="A4355">
        <f>HYPERLINK("https://www.youtube.com/watch?v=HuHnr3Y1MmY", "Video")</f>
        <v/>
      </c>
      <c r="B4355" t="inlineStr">
        <is>
          <t>1:41</t>
        </is>
      </c>
      <c r="C4355" t="inlineStr">
        <is>
          <t>drivers can earn anywhere from five to</t>
        </is>
      </c>
      <c r="D4355">
        <f>HYPERLINK("https://www.youtube.com/watch?v=HuHnr3Y1MmY&amp;t=101s", "Go to time")</f>
        <v/>
      </c>
    </row>
    <row r="4356">
      <c r="A4356">
        <f>HYPERLINK("https://www.youtube.com/watch?v=HuHnr3Y1MmY", "Video")</f>
        <v/>
      </c>
      <c r="B4356" t="inlineStr">
        <is>
          <t>1:47</t>
        </is>
      </c>
      <c r="C4356" t="inlineStr">
        <is>
          <t>don't want to become an object driver is</t>
        </is>
      </c>
      <c r="D4356">
        <f>HYPERLINK("https://www.youtube.com/watch?v=HuHnr3Y1MmY&amp;t=107s", "Go to time")</f>
        <v/>
      </c>
    </row>
    <row r="4357">
      <c r="A4357">
        <f>HYPERLINK("https://www.youtube.com/watch?v=HuHnr3Y1MmY", "Video")</f>
        <v/>
      </c>
      <c r="B4357" t="inlineStr">
        <is>
          <t>2:28</t>
        </is>
      </c>
      <c r="C4357" t="inlineStr">
        <is>
          <t>drivers on Jakarta striveth streets</t>
        </is>
      </c>
      <c r="D4357">
        <f>HYPERLINK("https://www.youtube.com/watch?v=HuHnr3Y1MmY&amp;t=148s", "Go to time")</f>
        <v/>
      </c>
    </row>
    <row r="4358">
      <c r="A4358">
        <f>HYPERLINK("https://www.youtube.com/watch?v=efHwCljW0I8", "Video")</f>
        <v/>
      </c>
      <c r="B4358" t="inlineStr">
        <is>
          <t>1:49</t>
        </is>
      </c>
      <c r="C4358" t="inlineStr">
        <is>
          <t>mini driver there are so many moms who</t>
        </is>
      </c>
      <c r="D4358">
        <f>HYPERLINK("https://www.youtube.com/watch?v=efHwCljW0I8&amp;t=109s", "Go to time")</f>
        <v/>
      </c>
    </row>
    <row r="4359">
      <c r="A4359">
        <f>HYPERLINK("https://www.youtube.com/watch?v=oELzFxKFbm0", "Video")</f>
        <v/>
      </c>
      <c r="B4359" t="inlineStr">
        <is>
          <t>3:23</t>
        </is>
      </c>
      <c r="C4359" t="inlineStr">
        <is>
          <t>developed this immune-driven redness as</t>
        </is>
      </c>
      <c r="D4359">
        <f>HYPERLINK("https://www.youtube.com/watch?v=oELzFxKFbm0&amp;t=203s", "Go to time")</f>
        <v/>
      </c>
    </row>
    <row r="4360">
      <c r="A4360">
        <f>HYPERLINK("https://www.youtube.com/watch?v=vZ3wRIgTSCw", "Video")</f>
        <v/>
      </c>
      <c r="B4360" t="inlineStr">
        <is>
          <t>1:33</t>
        </is>
      </c>
      <c r="C4360" t="inlineStr">
        <is>
          <t>drive out the impure</t>
        </is>
      </c>
      <c r="D4360">
        <f>HYPERLINK("https://www.youtube.com/watch?v=vZ3wRIgTSCw&amp;t=93s", "Go to time")</f>
        <v/>
      </c>
    </row>
    <row r="4361">
      <c r="A4361">
        <f>HYPERLINK("https://www.youtube.com/watch?v=PwrcYcpDFjk", "Video")</f>
        <v/>
      </c>
      <c r="B4361" t="inlineStr">
        <is>
          <t>0:57</t>
        </is>
      </c>
      <c r="C4361" t="inlineStr">
        <is>
          <t>cities will drive Airlines to buy the</t>
        </is>
      </c>
      <c r="D4361">
        <f>HYPERLINK("https://www.youtube.com/watch?v=PwrcYcpDFjk&amp;t=57s", "Go to time")</f>
        <v/>
      </c>
    </row>
    <row r="4362">
      <c r="A4362">
        <f>HYPERLINK("https://www.youtube.com/watch?v=em4mGprmglA", "Video")</f>
        <v/>
      </c>
      <c r="B4362" t="inlineStr">
        <is>
          <t>1:57</t>
        </is>
      </c>
      <c r="C4362" t="inlineStr">
        <is>
          <t>that's going to drive people to the</t>
        </is>
      </c>
      <c r="D4362">
        <f>HYPERLINK("https://www.youtube.com/watch?v=em4mGprmglA&amp;t=117s", "Go to time")</f>
        <v/>
      </c>
    </row>
    <row r="4363">
      <c r="A4363">
        <f>HYPERLINK("https://www.youtube.com/watch?v=sZnxWVKhObo", "Video")</f>
        <v/>
      </c>
      <c r="B4363" t="inlineStr">
        <is>
          <t>2:50</t>
        </is>
      </c>
      <c r="C4363" t="inlineStr">
        <is>
          <t>mid-1900s inventories were a driver of</t>
        </is>
      </c>
      <c r="D4363">
        <f>HYPERLINK("https://www.youtube.com/watch?v=sZnxWVKhObo&amp;t=170s", "Go to time")</f>
        <v/>
      </c>
    </row>
    <row r="4364">
      <c r="A4364">
        <f>HYPERLINK("https://www.youtube.com/watch?v=sZnxWVKhObo", "Video")</f>
        <v/>
      </c>
      <c r="B4364" t="inlineStr">
        <is>
          <t>4:03</t>
        </is>
      </c>
      <c r="C4364" t="inlineStr">
        <is>
          <t>profits it could drive down stock prices</t>
        </is>
      </c>
      <c r="D4364">
        <f>HYPERLINK("https://www.youtube.com/watch?v=sZnxWVKhObo&amp;t=243s", "Go to time")</f>
        <v/>
      </c>
    </row>
    <row r="4365">
      <c r="A4365">
        <f>HYPERLINK("https://www.youtube.com/watch?v=sZnxWVKhObo", "Video")</f>
        <v/>
      </c>
      <c r="B4365" t="inlineStr">
        <is>
          <t>4:07</t>
        </is>
      </c>
      <c r="C4365" t="inlineStr">
        <is>
          <t>market-driven economy there's always two</t>
        </is>
      </c>
      <c r="D4365">
        <f>HYPERLINK("https://www.youtube.com/watch?v=sZnxWVKhObo&amp;t=247s", "Go to time")</f>
        <v/>
      </c>
    </row>
    <row r="4366">
      <c r="A4366">
        <f>HYPERLINK("https://www.youtube.com/watch?v=BzJf8HWzSyY", "Video")</f>
        <v/>
      </c>
      <c r="B4366" t="inlineStr">
        <is>
          <t>2:25</t>
        </is>
      </c>
      <c r="C4366" t="inlineStr">
        <is>
          <t>- [Narrator] Powell's
data-driven mentality</t>
        </is>
      </c>
      <c r="D4366">
        <f>HYPERLINK("https://www.youtube.com/watch?v=BzJf8HWzSyY&amp;t=145s", "Go to time")</f>
        <v/>
      </c>
    </row>
    <row r="4367">
      <c r="A4367">
        <f>HYPERLINK("https://www.youtube.com/watch?v=wjcTyqwVJu0", "Video")</f>
        <v/>
      </c>
      <c r="B4367" t="inlineStr">
        <is>
          <t>0:34</t>
        </is>
      </c>
      <c r="C4367" t="inlineStr">
        <is>
          <t>and the driver abandoned it and sped off</t>
        </is>
      </c>
      <c r="D4367">
        <f>HYPERLINK("https://www.youtube.com/watch?v=wjcTyqwVJu0&amp;t=34s", "Go to time")</f>
        <v/>
      </c>
    </row>
    <row r="4368">
      <c r="A4368">
        <f>HYPERLINK("https://www.youtube.com/watch?v=SYu-xnjwN4Q", "Video")</f>
        <v/>
      </c>
      <c r="B4368" t="inlineStr">
        <is>
          <t>4:46</t>
        </is>
      </c>
      <c r="C4368" t="inlineStr">
        <is>
          <t>has been driven by a
recent stock market crash</t>
        </is>
      </c>
      <c r="D4368">
        <f>HYPERLINK("https://www.youtube.com/watch?v=SYu-xnjwN4Q&amp;t=286s", "Go to time")</f>
        <v/>
      </c>
    </row>
    <row r="4369">
      <c r="A4369">
        <f>HYPERLINK("https://www.youtube.com/watch?v=SYu-xnjwN4Q", "Video")</f>
        <v/>
      </c>
      <c r="B4369" t="inlineStr">
        <is>
          <t>5:10</t>
        </is>
      </c>
      <c r="C4369" t="inlineStr">
        <is>
          <t>especially because it's
often driven by emotion.</t>
        </is>
      </c>
      <c r="D4369">
        <f>HYPERLINK("https://www.youtube.com/watch?v=SYu-xnjwN4Q&amp;t=310s", "Go to time")</f>
        <v/>
      </c>
    </row>
    <row r="4370">
      <c r="A4370">
        <f>HYPERLINK("https://www.youtube.com/watch?v=Jl7vrujr1J4", "Video")</f>
        <v/>
      </c>
      <c r="B4370" t="inlineStr">
        <is>
          <t>2:21</t>
        </is>
      </c>
      <c r="C4370" t="inlineStr">
        <is>
          <t>driven by schedule certainty and cost in</t>
        </is>
      </c>
      <c r="D4370">
        <f>HYPERLINK("https://www.youtube.com/watch?v=Jl7vrujr1J4&amp;t=141s", "Go to time")</f>
        <v/>
      </c>
    </row>
    <row r="4371">
      <c r="A4371">
        <f>HYPERLINK("https://www.youtube.com/watch?v=0VtJUJ4hTlw", "Video")</f>
        <v/>
      </c>
      <c r="B4371" t="inlineStr">
        <is>
          <t>0:43</t>
        </is>
      </c>
      <c r="C4371" t="inlineStr">
        <is>
          <t>capable battery all-wheel drive and a</t>
        </is>
      </c>
      <c r="D4371">
        <f>HYPERLINK("https://www.youtube.com/watch?v=0VtJUJ4hTlw&amp;t=43s", "Go to time")</f>
        <v/>
      </c>
    </row>
    <row r="4372">
      <c r="A4372">
        <f>HYPERLINK("https://www.youtube.com/watch?v=OHDnSUE6PLg", "Video")</f>
        <v/>
      </c>
      <c r="B4372" t="inlineStr">
        <is>
          <t>0:50</t>
        </is>
      </c>
      <c r="C4372" t="inlineStr">
        <is>
          <t>driver's seat when it comes to the</t>
        </is>
      </c>
      <c r="D4372">
        <f>HYPERLINK("https://www.youtube.com/watch?v=OHDnSUE6PLg&amp;t=50s", "Go to time")</f>
        <v/>
      </c>
    </row>
    <row r="4373">
      <c r="A4373">
        <f>HYPERLINK("https://www.youtube.com/watch?v=OHDnSUE6PLg", "Video")</f>
        <v/>
      </c>
      <c r="B4373" t="inlineStr">
        <is>
          <t>4:36</t>
        </is>
      </c>
      <c r="C4373" t="inlineStr">
        <is>
          <t>important there are two drivers here one</t>
        </is>
      </c>
      <c r="D4373">
        <f>HYPERLINK("https://www.youtube.com/watch?v=OHDnSUE6PLg&amp;t=276s", "Go to time")</f>
        <v/>
      </c>
    </row>
    <row r="4374">
      <c r="A4374">
        <f>HYPERLINK("https://www.youtube.com/watch?v=OHDnSUE6PLg", "Video")</f>
        <v/>
      </c>
      <c r="B4374" t="inlineStr">
        <is>
          <t>4:53</t>
        </is>
      </c>
      <c r="C4374" t="inlineStr">
        <is>
          <t>called 3-d and these are big drivers for</t>
        </is>
      </c>
      <c r="D4374">
        <f>HYPERLINK("https://www.youtube.com/watch?v=OHDnSUE6PLg&amp;t=293s", "Go to time")</f>
        <v/>
      </c>
    </row>
    <row r="4375">
      <c r="A4375">
        <f>HYPERLINK("https://www.youtube.com/watch?v=ZrWh6S7IE1g", "Video")</f>
        <v/>
      </c>
      <c r="B4375" t="inlineStr">
        <is>
          <t>0:31</t>
        </is>
      </c>
      <c r="C4375" t="inlineStr">
        <is>
          <t>militants before they were driven out of</t>
        </is>
      </c>
      <c r="D4375">
        <f>HYPERLINK("https://www.youtube.com/watch?v=ZrWh6S7IE1g&amp;t=31s", "Go to time")</f>
        <v/>
      </c>
    </row>
    <row r="4376">
      <c r="A4376">
        <f>HYPERLINK("https://www.youtube.com/watch?v=73akzobLE3Q", "Video")</f>
        <v/>
      </c>
      <c r="B4376" t="inlineStr">
        <is>
          <t>4:07</t>
        </is>
      </c>
      <c r="C4376" t="inlineStr">
        <is>
          <t>which has driven growth for the company</t>
        </is>
      </c>
      <c r="D4376">
        <f>HYPERLINK("https://www.youtube.com/watch?v=73akzobLE3Q&amp;t=247s", "Go to time")</f>
        <v/>
      </c>
    </row>
    <row r="4377">
      <c r="A4377">
        <f>HYPERLINK("https://www.youtube.com/watch?v=wZw5MsOhCv8", "Video")</f>
        <v/>
      </c>
      <c r="B4377" t="inlineStr">
        <is>
          <t>0:04</t>
        </is>
      </c>
      <c r="C4377" t="inlineStr">
        <is>
          <t>driven by all the Dan NE in the land do</t>
        </is>
      </c>
      <c r="D4377">
        <f>HYPERLINK("https://www.youtube.com/watch?v=wZw5MsOhCv8&amp;t=4s", "Go to time")</f>
        <v/>
      </c>
    </row>
    <row r="4378">
      <c r="A4378">
        <f>HYPERLINK("https://www.youtube.com/watch?v=NoXRe0Knt_o", "Video")</f>
        <v/>
      </c>
      <c r="B4378" t="inlineStr">
        <is>
          <t>1:07</t>
        </is>
      </c>
      <c r="C4378" t="inlineStr">
        <is>
          <t>Insurgency and that that's driven</t>
        </is>
      </c>
      <c r="D4378">
        <f>HYPERLINK("https://www.youtube.com/watch?v=NoXRe0Knt_o&amp;t=67s", "Go to time")</f>
        <v/>
      </c>
    </row>
    <row r="4379">
      <c r="A4379">
        <f>HYPERLINK("https://www.youtube.com/watch?v=NoXRe0Knt_o", "Video")</f>
        <v/>
      </c>
      <c r="B4379" t="inlineStr">
        <is>
          <t>14:12</t>
        </is>
      </c>
      <c r="C4379" t="inlineStr">
        <is>
          <t>Soros uh funded and and uh driven but I</t>
        </is>
      </c>
      <c r="D4379">
        <f>HYPERLINK("https://www.youtube.com/watch?v=NoXRe0Knt_o&amp;t=852s", "Go to time")</f>
        <v/>
      </c>
    </row>
    <row r="4380">
      <c r="A4380">
        <f>HYPERLINK("https://www.youtube.com/watch?v=wAuY10_ZbW0", "Video")</f>
        <v/>
      </c>
      <c r="B4380" t="inlineStr">
        <is>
          <t>0:25</t>
        </is>
      </c>
      <c r="C4380" t="inlineStr">
        <is>
          <t>that curtailed the group's
June 24 drive towards Moscow</t>
        </is>
      </c>
      <c r="D4380">
        <f>HYPERLINK("https://www.youtube.com/watch?v=wAuY10_ZbW0&amp;t=25s", "Go to time")</f>
        <v/>
      </c>
    </row>
    <row r="4381">
      <c r="A4381">
        <f>HYPERLINK("https://www.youtube.com/watch?v=wAuY10_ZbW0", "Video")</f>
        <v/>
      </c>
      <c r="B4381" t="inlineStr">
        <is>
          <t>1:03</t>
        </is>
      </c>
      <c r="C4381" t="inlineStr">
        <is>
          <t>a 15-minute drive away from the cell camp.</t>
        </is>
      </c>
      <c r="D4381">
        <f>HYPERLINK("https://www.youtube.com/watch?v=wAuY10_ZbW0&amp;t=63s", "Go to time")</f>
        <v/>
      </c>
    </row>
    <row r="4382">
      <c r="A4382">
        <f>HYPERLINK("https://www.youtube.com/watch?v=p7MqvJAKLoM", "Video")</f>
        <v/>
      </c>
      <c r="B4382" t="inlineStr">
        <is>
          <t>3:59</t>
        </is>
      </c>
      <c r="C4382" t="inlineStr">
        <is>
          <t>But, the strong growth rates
are still driven by the fact</t>
        </is>
      </c>
      <c r="D4382">
        <f>HYPERLINK("https://www.youtube.com/watch?v=p7MqvJAKLoM&amp;t=239s", "Go to time")</f>
        <v/>
      </c>
    </row>
    <row r="4383">
      <c r="A4383">
        <f>HYPERLINK("https://www.youtube.com/watch?v=JkrdeZfaWM8", "Video")</f>
        <v/>
      </c>
      <c r="B4383" t="inlineStr">
        <is>
          <t>1:43</t>
        </is>
      </c>
      <c r="C4383" t="inlineStr">
        <is>
          <t>they're not there you sometimes drive</t>
        </is>
      </c>
      <c r="D4383">
        <f>HYPERLINK("https://www.youtube.com/watch?v=JkrdeZfaWM8&amp;t=103s", "Go to time")</f>
        <v/>
      </c>
    </row>
    <row r="4384">
      <c r="A4384">
        <f>HYPERLINK("https://www.youtube.com/watch?v=EnKtcJfTSgo", "Video")</f>
        <v/>
      </c>
      <c r="B4384" t="inlineStr">
        <is>
          <t>2:28</t>
        </is>
      </c>
      <c r="C4384" t="inlineStr">
        <is>
          <t>drives them crazy about Halloween well a</t>
        </is>
      </c>
      <c r="D4384">
        <f>HYPERLINK("https://www.youtube.com/watch?v=EnKtcJfTSgo&amp;t=148s", "Go to time")</f>
        <v/>
      </c>
    </row>
    <row r="4385">
      <c r="A4385">
        <f>HYPERLINK("https://www.youtube.com/watch?v=TMupD8S1SL8", "Video")</f>
        <v/>
      </c>
      <c r="B4385" t="inlineStr">
        <is>
          <t>0:52</t>
        </is>
      </c>
      <c r="C4385" t="inlineStr">
        <is>
          <t>country so around driver around ltown</t>
        </is>
      </c>
      <c r="D4385">
        <f>HYPERLINK("https://www.youtube.com/watch?v=TMupD8S1SL8&amp;t=52s", "Go to time")</f>
        <v/>
      </c>
    </row>
    <row r="4386">
      <c r="A4386">
        <f>HYPERLINK("https://www.youtube.com/watch?v=E5BZFRYlhG8", "Video")</f>
        <v/>
      </c>
      <c r="B4386" t="inlineStr">
        <is>
          <t>0:51</t>
        </is>
      </c>
      <c r="C4386" t="inlineStr">
        <is>
          <t>driverless cars and they're programmed</t>
        </is>
      </c>
      <c r="D4386">
        <f>HYPERLINK("https://www.youtube.com/watch?v=E5BZFRYlhG8&amp;t=51s", "Go to time")</f>
        <v/>
      </c>
    </row>
    <row r="4387">
      <c r="A4387">
        <f>HYPERLINK("https://www.youtube.com/watch?v=BbdLpIi4sdQ", "Video")</f>
        <v/>
      </c>
      <c r="B4387" t="inlineStr">
        <is>
          <t>15:26</t>
        </is>
      </c>
      <c r="C4387" t="inlineStr">
        <is>
          <t>an Uber driver with the computer telling</t>
        </is>
      </c>
      <c r="D4387">
        <f>HYPERLINK("https://www.youtube.com/watch?v=BbdLpIi4sdQ&amp;t=926s", "Go to time")</f>
        <v/>
      </c>
    </row>
    <row r="4388">
      <c r="A4388">
        <f>HYPERLINK("https://www.youtube.com/watch?v=U1vj4SgZ5MI", "Video")</f>
        <v/>
      </c>
      <c r="B4388" t="inlineStr">
        <is>
          <t>0:08</t>
        </is>
      </c>
      <c r="C4388" t="inlineStr">
        <is>
          <t>car critic have ever driven what is the</t>
        </is>
      </c>
      <c r="D4388">
        <f>HYPERLINK("https://www.youtube.com/watch?v=U1vj4SgZ5MI&amp;t=8s", "Go to time")</f>
        <v/>
      </c>
    </row>
    <row r="4389">
      <c r="A4389">
        <f>HYPERLINK("https://www.youtube.com/watch?v=U1vj4SgZ5MI", "Video")</f>
        <v/>
      </c>
      <c r="B4389" t="inlineStr">
        <is>
          <t>1:30</t>
        </is>
      </c>
      <c r="C4389" t="inlineStr">
        <is>
          <t>all-wheel drive four-wheel steering</t>
        </is>
      </c>
      <c r="D4389">
        <f>HYPERLINK("https://www.youtube.com/watch?v=U1vj4SgZ5MI&amp;t=90s", "Go to time")</f>
        <v/>
      </c>
    </row>
    <row r="4390">
      <c r="A4390">
        <f>HYPERLINK("https://www.youtube.com/watch?v=U1vj4SgZ5MI", "Video")</f>
        <v/>
      </c>
      <c r="B4390" t="inlineStr">
        <is>
          <t>2:04</t>
        </is>
      </c>
      <c r="C4390" t="inlineStr">
        <is>
          <t>necessarily Embrace more driver AIDS</t>
        </is>
      </c>
      <c r="D4390">
        <f>HYPERLINK("https://www.youtube.com/watch?v=U1vj4SgZ5MI&amp;t=124s", "Go to time")</f>
        <v/>
      </c>
    </row>
    <row r="4391">
      <c r="A4391">
        <f>HYPERLINK("https://www.youtube.com/watch?v=YYfxo2otxCw", "Video")</f>
        <v/>
      </c>
      <c r="B4391" t="inlineStr">
        <is>
          <t>3:32</t>
        </is>
      </c>
      <c r="C4391" t="inlineStr">
        <is>
          <t>choosing to drive over taking transit.</t>
        </is>
      </c>
      <c r="D4391">
        <f>HYPERLINK("https://www.youtube.com/watch?v=YYfxo2otxCw&amp;t=212s", "Go to time")</f>
        <v/>
      </c>
    </row>
    <row r="4392">
      <c r="A4392">
        <f>HYPERLINK("https://www.youtube.com/watch?v=8RUtYlAbb4w", "Video")</f>
        <v/>
      </c>
      <c r="B4392" t="inlineStr">
        <is>
          <t>1:09</t>
        </is>
      </c>
      <c r="C4392" t="inlineStr">
        <is>
          <t>one driven by corporate earnings Global</t>
        </is>
      </c>
      <c r="D4392">
        <f>HYPERLINK("https://www.youtube.com/watch?v=8RUtYlAbb4w&amp;t=69s", "Go to time")</f>
        <v/>
      </c>
    </row>
    <row r="4393">
      <c r="A4393">
        <f>HYPERLINK("https://www.youtube.com/watch?v=FP_g-as29x0", "Video")</f>
        <v/>
      </c>
      <c r="B4393" t="inlineStr">
        <is>
          <t>0:50</t>
        </is>
      </c>
      <c r="C4393" t="inlineStr">
        <is>
          <t>This shortage has affected
whether you can drive a Jeep</t>
        </is>
      </c>
      <c r="D4393">
        <f>HYPERLINK("https://www.youtube.com/watch?v=FP_g-as29x0&amp;t=50s", "Go to time")</f>
        <v/>
      </c>
    </row>
    <row r="4394">
      <c r="A4394">
        <f>HYPERLINK("https://www.youtube.com/watch?v=SvqqoS5NAPg", "Video")</f>
        <v/>
      </c>
      <c r="B4394" t="inlineStr">
        <is>
          <t>2:20</t>
        </is>
      </c>
      <c r="C4394" t="inlineStr">
        <is>
          <t>like how to help you drive better Etc so</t>
        </is>
      </c>
      <c r="D4394">
        <f>HYPERLINK("https://www.youtube.com/watch?v=SvqqoS5NAPg&amp;t=140s", "Go to time")</f>
        <v/>
      </c>
    </row>
    <row r="4395">
      <c r="A4395">
        <f>HYPERLINK("https://www.youtube.com/watch?v=3qGteAfPbdw", "Video")</f>
        <v/>
      </c>
      <c r="B4395" t="inlineStr">
        <is>
          <t>3:52</t>
        </is>
      </c>
      <c r="C4395" t="inlineStr">
        <is>
          <t>around you and give the driver heads up</t>
        </is>
      </c>
      <c r="D4395">
        <f>HYPERLINK("https://www.youtube.com/watch?v=3qGteAfPbdw&amp;t=232s", "Go to time")</f>
        <v/>
      </c>
    </row>
    <row r="4396">
      <c r="A4396">
        <f>HYPERLINK("https://www.youtube.com/watch?v=VBEu4iLgEyA", "Video")</f>
        <v/>
      </c>
      <c r="B4396" t="inlineStr">
        <is>
          <t>1:32</t>
        </is>
      </c>
      <c r="C4396" t="inlineStr">
        <is>
          <t>press the button and the AI driven</t>
        </is>
      </c>
      <c r="D4396">
        <f>HYPERLINK("https://www.youtube.com/watch?v=VBEu4iLgEyA&amp;t=92s", "Go to time")</f>
        <v/>
      </c>
    </row>
    <row r="4397">
      <c r="A4397">
        <f>HYPERLINK("https://www.youtube.com/watch?v=1m2o7biBk9U", "Video")</f>
        <v/>
      </c>
      <c r="B4397" t="inlineStr">
        <is>
          <t>0:19</t>
        </is>
      </c>
      <c r="C4397" t="inlineStr">
        <is>
          <t>Low prices normally put cash
in the pockets of drivers</t>
        </is>
      </c>
      <c r="D4397">
        <f>HYPERLINK("https://www.youtube.com/watch?v=1m2o7biBk9U&amp;t=19s", "Go to time")</f>
        <v/>
      </c>
    </row>
    <row r="4398">
      <c r="A4398">
        <f>HYPERLINK("https://www.youtube.com/watch?v=rkfcDSkYbMc", "Video")</f>
        <v/>
      </c>
      <c r="B4398" t="inlineStr">
        <is>
          <t>1:06</t>
        </is>
      </c>
      <c r="C4398" t="inlineStr">
        <is>
          <t>to drive about 60% of that growth. So it</t>
        </is>
      </c>
      <c r="D4398">
        <f>HYPERLINK("https://www.youtube.com/watch?v=rkfcDSkYbMc&amp;t=66s", "Go to time")</f>
        <v/>
      </c>
    </row>
    <row r="4399">
      <c r="A4399">
        <f>HYPERLINK("https://www.youtube.com/watch?v=b-0kEglXFwI", "Video")</f>
        <v/>
      </c>
      <c r="B4399" t="inlineStr">
        <is>
          <t>3:11</t>
        </is>
      </c>
      <c r="C4399" t="inlineStr">
        <is>
          <t>you're just gonna drive this thing on</t>
        </is>
      </c>
      <c r="D4399">
        <f>HYPERLINK("https://www.youtube.com/watch?v=b-0kEglXFwI&amp;t=191s", "Go to time")</f>
        <v/>
      </c>
    </row>
    <row r="4400">
      <c r="A4400">
        <f>HYPERLINK("https://www.youtube.com/watch?v=GP7QF3rEIlI", "Video")</f>
        <v/>
      </c>
      <c r="B4400" t="inlineStr">
        <is>
          <t>1:09</t>
        </is>
      </c>
      <c r="C4400" t="inlineStr">
        <is>
          <t>could drive the cost of Apple's
iPhone XS up by about $40.</t>
        </is>
      </c>
      <c r="D4400">
        <f>HYPERLINK("https://www.youtube.com/watch?v=GP7QF3rEIlI&amp;t=69s", "Go to time")</f>
        <v/>
      </c>
    </row>
    <row r="4401">
      <c r="A4401">
        <f>HYPERLINK("https://www.youtube.com/watch?v=q0_0eiN53yM", "Video")</f>
        <v/>
      </c>
      <c r="B4401" t="inlineStr">
        <is>
          <t>0:24</t>
        </is>
      </c>
      <c r="C4401" t="inlineStr">
        <is>
          <t>- [Narrator] So what drives her to take on</t>
        </is>
      </c>
      <c r="D4401">
        <f>HYPERLINK("https://www.youtube.com/watch?v=q0_0eiN53yM&amp;t=24s", "Go to time")</f>
        <v/>
      </c>
    </row>
    <row r="4402">
      <c r="A4402">
        <f>HYPERLINK("https://www.youtube.com/watch?v=VwrT_LzjkDA", "Video")</f>
        <v/>
      </c>
      <c r="B4402" t="inlineStr">
        <is>
          <t>3:29</t>
        </is>
      </c>
      <c r="C4402" t="inlineStr">
        <is>
          <t>signing up for your driver's license and</t>
        </is>
      </c>
      <c r="D4402">
        <f>HYPERLINK("https://www.youtube.com/watch?v=VwrT_LzjkDA&amp;t=209s", "Go to time")</f>
        <v/>
      </c>
    </row>
    <row r="4403">
      <c r="A4403">
        <f>HYPERLINK("https://www.youtube.com/watch?v=EEVaeBPmVUo", "Video")</f>
        <v/>
      </c>
      <c r="B4403" t="inlineStr">
        <is>
          <t>3:24</t>
        </is>
      </c>
      <c r="C4403" t="inlineStr">
        <is>
          <t>car or the driverless car is coming and</t>
        </is>
      </c>
      <c r="D4403">
        <f>HYPERLINK("https://www.youtube.com/watch?v=EEVaeBPmVUo&amp;t=204s", "Go to time")</f>
        <v/>
      </c>
    </row>
    <row r="4404">
      <c r="A4404">
        <f>HYPERLINK("https://www.youtube.com/watch?v=EEVaeBPmVUo", "Video")</f>
        <v/>
      </c>
      <c r="B4404" t="inlineStr">
        <is>
          <t>4:49</t>
        </is>
      </c>
      <c r="C4404" t="inlineStr">
        <is>
          <t>driverless car and you should be good to</t>
        </is>
      </c>
      <c r="D4404">
        <f>HYPERLINK("https://www.youtube.com/watch?v=EEVaeBPmVUo&amp;t=289s", "Go to time")</f>
        <v/>
      </c>
    </row>
    <row r="4405">
      <c r="A4405">
        <f>HYPERLINK("https://www.youtube.com/watch?v=5gNX3v976WA", "Video")</f>
        <v/>
      </c>
      <c r="B4405" t="inlineStr">
        <is>
          <t>4:41</t>
        </is>
      </c>
      <c r="C4405" t="inlineStr">
        <is>
          <t>drives me to work every morning it it's</t>
        </is>
      </c>
      <c r="D4405">
        <f>HYPERLINK("https://www.youtube.com/watch?v=5gNX3v976WA&amp;t=281s", "Go to time")</f>
        <v/>
      </c>
    </row>
    <row r="4406">
      <c r="A4406">
        <f>HYPERLINK("https://www.youtube.com/watch?v=5gNX3v976WA", "Video")</f>
        <v/>
      </c>
      <c r="B4406" t="inlineStr">
        <is>
          <t>4:59</t>
        </is>
      </c>
      <c r="C4406" t="inlineStr">
        <is>
          <t>and process it drives the brand it</t>
        </is>
      </c>
      <c r="D4406">
        <f>HYPERLINK("https://www.youtube.com/watch?v=5gNX3v976WA&amp;t=299s", "Go to time")</f>
        <v/>
      </c>
    </row>
    <row r="4407">
      <c r="A4407">
        <f>HYPERLINK("https://www.youtube.com/watch?v=S14gqJweoKE", "Video")</f>
        <v/>
      </c>
      <c r="B4407" t="inlineStr">
        <is>
          <t>1:11</t>
        </is>
      </c>
      <c r="C4407" t="inlineStr">
        <is>
          <t>you I believe that you have the drive</t>
        </is>
      </c>
      <c r="D4407">
        <f>HYPERLINK("https://www.youtube.com/watch?v=S14gqJweoKE&amp;t=71s", "Go to time")</f>
        <v/>
      </c>
    </row>
    <row r="4408">
      <c r="A4408">
        <f>HYPERLINK("https://www.youtube.com/watch?v=ruR6NhzFjAA", "Video")</f>
        <v/>
      </c>
      <c r="B4408" t="inlineStr">
        <is>
          <t>0:41</t>
        </is>
      </c>
      <c r="C4408" t="inlineStr">
        <is>
          <t>the driver has to remember that he or</t>
        </is>
      </c>
      <c r="D4408">
        <f>HYPERLINK("https://www.youtube.com/watch?v=ruR6NhzFjAA&amp;t=41s", "Go to time")</f>
        <v/>
      </c>
    </row>
    <row r="4409">
      <c r="A4409">
        <f>HYPERLINK("https://www.youtube.com/watch?v=ruR6NhzFjAA", "Video")</f>
        <v/>
      </c>
      <c r="B4409" t="inlineStr">
        <is>
          <t>0:43</t>
        </is>
      </c>
      <c r="C4409" t="inlineStr">
        <is>
          <t>she is more than just the driver correct</t>
        </is>
      </c>
      <c r="D4409">
        <f>HYPERLINK("https://www.youtube.com/watch?v=ruR6NhzFjAA&amp;t=43s", "Go to time")</f>
        <v/>
      </c>
    </row>
    <row r="4410">
      <c r="A4410">
        <f>HYPERLINK("https://www.youtube.com/watch?v=ruR6NhzFjAA", "Video")</f>
        <v/>
      </c>
      <c r="B4410" t="inlineStr">
        <is>
          <t>0:56</t>
        </is>
      </c>
      <c r="C4410" t="inlineStr">
        <is>
          <t>road trip so driver as host passenger as</t>
        </is>
      </c>
      <c r="D4410">
        <f>HYPERLINK("https://www.youtube.com/watch?v=ruR6NhzFjAA&amp;t=56s", "Go to time")</f>
        <v/>
      </c>
    </row>
    <row r="4411">
      <c r="A4411">
        <f>HYPERLINK("https://www.youtube.com/watch?v=ruR6NhzFjAA", "Video")</f>
        <v/>
      </c>
      <c r="B4411" t="inlineStr">
        <is>
          <t>1:02</t>
        </is>
      </c>
      <c r="C4411" t="inlineStr">
        <is>
          <t>in someone's car it is the drivers duty</t>
        </is>
      </c>
      <c r="D4411">
        <f>HYPERLINK("https://www.youtube.com/watch?v=ruR6NhzFjAA&amp;t=62s", "Go to time")</f>
        <v/>
      </c>
    </row>
    <row r="4412">
      <c r="A4412">
        <f>HYPERLINK("https://www.youtube.com/watch?v=ruR6NhzFjAA", "Video")</f>
        <v/>
      </c>
      <c r="B4412" t="inlineStr">
        <is>
          <t>3:31</t>
        </is>
      </c>
      <c r="C4412" t="inlineStr">
        <is>
          <t>think that the driver gets final say</t>
        </is>
      </c>
      <c r="D4412">
        <f>HYPERLINK("https://www.youtube.com/watch?v=ruR6NhzFjAA&amp;t=211s", "Go to time")</f>
        <v/>
      </c>
    </row>
    <row r="4413">
      <c r="A4413">
        <f>HYPERLINK("https://www.youtube.com/watch?v=ruR6NhzFjAA", "Video")</f>
        <v/>
      </c>
      <c r="B4413" t="inlineStr">
        <is>
          <t>3:37</t>
        </is>
      </c>
      <c r="C4413" t="inlineStr">
        <is>
          <t>me that the driver gets the last word on</t>
        </is>
      </c>
      <c r="D4413">
        <f>HYPERLINK("https://www.youtube.com/watch?v=ruR6NhzFjAA&amp;t=217s", "Go to time")</f>
        <v/>
      </c>
    </row>
    <row r="4414">
      <c r="A4414">
        <f>HYPERLINK("https://www.youtube.com/watch?v=ruR6NhzFjAA", "Video")</f>
        <v/>
      </c>
      <c r="B4414" t="inlineStr">
        <is>
          <t>3:49</t>
        </is>
      </c>
      <c r="C4414" t="inlineStr">
        <is>
          <t>people expect the driver to think about</t>
        </is>
      </c>
      <c r="D4414">
        <f>HYPERLINK("https://www.youtube.com/watch?v=ruR6NhzFjAA&amp;t=229s", "Go to time")</f>
        <v/>
      </c>
    </row>
    <row r="4415">
      <c r="A4415">
        <f>HYPERLINK("https://www.youtube.com/watch?v=ruR6NhzFjAA", "Video")</f>
        <v/>
      </c>
      <c r="B4415" t="inlineStr">
        <is>
          <t>3:54</t>
        </is>
      </c>
      <c r="C4415" t="inlineStr">
        <is>
          <t>doesn't mean the driver has to listen to</t>
        </is>
      </c>
      <c r="D4415">
        <f>HYPERLINK("https://www.youtube.com/watch?v=ruR6NhzFjAA&amp;t=234s", "Go to time")</f>
        <v/>
      </c>
    </row>
    <row r="4416">
      <c r="A4416">
        <f>HYPERLINK("https://www.youtube.com/watch?v=o9OgNLutKSU", "Video")</f>
        <v/>
      </c>
      <c r="B4416" t="inlineStr">
        <is>
          <t>2:33</t>
        </is>
      </c>
      <c r="C4416" t="inlineStr">
        <is>
          <t>They believe that will drive money back</t>
        </is>
      </c>
      <c r="D4416">
        <f>HYPERLINK("https://www.youtube.com/watch?v=o9OgNLutKSU&amp;t=153s", "Go to time")</f>
        <v/>
      </c>
    </row>
    <row r="4417">
      <c r="A4417">
        <f>HYPERLINK("https://www.youtube.com/watch?v=_Fk7LV_IcXc", "Video")</f>
        <v/>
      </c>
      <c r="B4417" t="inlineStr">
        <is>
          <t>8:08</t>
        </is>
      </c>
      <c r="C4417" t="inlineStr">
        <is>
          <t>year the police shot his driver because</t>
        </is>
      </c>
      <c r="D4417">
        <f>HYPERLINK("https://www.youtube.com/watch?v=_Fk7LV_IcXc&amp;t=488s", "Go to time")</f>
        <v/>
      </c>
    </row>
    <row r="4418">
      <c r="A4418">
        <f>HYPERLINK("https://www.youtube.com/watch?v=_Fk7LV_IcXc", "Video")</f>
        <v/>
      </c>
      <c r="B4418" t="inlineStr">
        <is>
          <t>8:29</t>
        </is>
      </c>
      <c r="C4418" t="inlineStr">
        <is>
          <t>police claimed his driver been killed by</t>
        </is>
      </c>
      <c r="D4418">
        <f>HYPERLINK("https://www.youtube.com/watch?v=_Fk7LV_IcXc&amp;t=509s", "Go to time")</f>
        <v/>
      </c>
    </row>
    <row r="4419">
      <c r="A4419">
        <f>HYPERLINK("https://www.youtube.com/watch?v=9i9Ilxz_llA", "Video")</f>
        <v/>
      </c>
      <c r="B4419" t="inlineStr">
        <is>
          <t>1:40</t>
        </is>
      </c>
      <c r="C4419" t="inlineStr">
        <is>
          <t>generated some curiosity that will drive</t>
        </is>
      </c>
      <c r="D4419">
        <f>HYPERLINK("https://www.youtube.com/watch?v=9i9Ilxz_llA&amp;t=100s", "Go to time")</f>
        <v/>
      </c>
    </row>
    <row r="4420">
      <c r="A4420">
        <f>HYPERLINK("https://www.youtube.com/watch?v=DX9Y2K95zOA", "Video")</f>
        <v/>
      </c>
      <c r="B4420" t="inlineStr">
        <is>
          <t>1:47</t>
        </is>
      </c>
      <c r="C4420" t="inlineStr">
        <is>
          <t>driver all rolled into</t>
        </is>
      </c>
      <c r="D4420">
        <f>HYPERLINK("https://www.youtube.com/watch?v=DX9Y2K95zOA&amp;t=107s", "Go to time")</f>
        <v/>
      </c>
    </row>
    <row r="4421">
      <c r="A4421">
        <f>HYPERLINK("https://www.youtube.com/watch?v=3h_fcMF4QJc", "Video")</f>
        <v/>
      </c>
      <c r="B4421" t="inlineStr">
        <is>
          <t>4:07</t>
        </is>
      </c>
      <c r="C4421" t="inlineStr">
        <is>
          <t>analysts say this has been a big driver</t>
        </is>
      </c>
      <c r="D4421">
        <f>HYPERLINK("https://www.youtube.com/watch?v=3h_fcMF4QJc&amp;t=247s", "Go to time")</f>
        <v/>
      </c>
    </row>
    <row r="4422">
      <c r="A4422">
        <f>HYPERLINK("https://www.youtube.com/watch?v=GnT7uTXQp-E", "Video")</f>
        <v/>
      </c>
      <c r="B4422" t="inlineStr">
        <is>
          <t>2:25</t>
        </is>
      </c>
      <c r="C4422" t="inlineStr">
        <is>
          <t>the menu could drive away some customers</t>
        </is>
      </c>
      <c r="D4422">
        <f>HYPERLINK("https://www.youtube.com/watch?v=GnT7uTXQp-E&amp;t=145s", "Go to time")</f>
        <v/>
      </c>
    </row>
    <row r="4423">
      <c r="A4423">
        <f>HYPERLINK("https://www.youtube.com/watch?v=EcR5Csxbc0k", "Video")</f>
        <v/>
      </c>
      <c r="B4423" t="inlineStr">
        <is>
          <t>0:58</t>
        </is>
      </c>
      <c r="C4423" t="inlineStr">
        <is>
          <t>may be great for a driver and for your</t>
        </is>
      </c>
      <c r="D4423">
        <f>HYPERLINK("https://www.youtube.com/watch?v=EcR5Csxbc0k&amp;t=58s", "Go to time")</f>
        <v/>
      </c>
    </row>
    <row r="4424">
      <c r="A4424">
        <f>HYPERLINK("https://www.youtube.com/watch?v=2sgfr3RJ2cY", "Video")</f>
        <v/>
      </c>
      <c r="B4424" t="inlineStr">
        <is>
          <t>7:30</t>
        </is>
      </c>
      <c r="C4424" t="inlineStr">
        <is>
          <t>Mr. Modi is driven by the idea</t>
        </is>
      </c>
      <c r="D4424">
        <f>HYPERLINK("https://www.youtube.com/watch?v=2sgfr3RJ2cY&amp;t=450s", "Go to time")</f>
        <v/>
      </c>
    </row>
    <row r="4425">
      <c r="A4425">
        <f>HYPERLINK("https://www.youtube.com/watch?v=UVRvNO8GTyA", "Video")</f>
        <v/>
      </c>
      <c r="B4425" t="inlineStr">
        <is>
          <t>2:14</t>
        </is>
      </c>
      <c r="C4425" t="inlineStr">
        <is>
          <t>has features for tracking new drivers.</t>
        </is>
      </c>
      <c r="D4425">
        <f>HYPERLINK("https://www.youtube.com/watch?v=UVRvNO8GTyA&amp;t=134s", "Go to time")</f>
        <v/>
      </c>
    </row>
    <row r="4426">
      <c r="A4426">
        <f>HYPERLINK("https://www.youtube.com/watch?v=uNPHJfDnniY", "Video")</f>
        <v/>
      </c>
      <c r="B4426" t="inlineStr">
        <is>
          <t>0:03</t>
        </is>
      </c>
      <c r="C4426" t="inlineStr">
        <is>
          <t>a major upgrade to its driver
assistance software FSD-beta.</t>
        </is>
      </c>
      <c r="D4426">
        <f>HYPERLINK("https://www.youtube.com/watch?v=uNPHJfDnniY&amp;t=3s", "Go to time")</f>
        <v/>
      </c>
    </row>
    <row r="4427">
      <c r="A4427">
        <f>HYPERLINK("https://www.youtube.com/watch?v=uNPHJfDnniY", "Video")</f>
        <v/>
      </c>
      <c r="B4427" t="inlineStr">
        <is>
          <t>0:20</t>
        </is>
      </c>
      <c r="C4427" t="inlineStr">
        <is>
          <t>and Tesla instructs drivers</t>
        </is>
      </c>
      <c r="D4427">
        <f>HYPERLINK("https://www.youtube.com/watch?v=uNPHJfDnniY&amp;t=20s", "Go to time")</f>
        <v/>
      </c>
    </row>
    <row r="4428">
      <c r="A4428">
        <f>HYPERLINK("https://www.youtube.com/watch?v=uNPHJfDnniY", "Video")</f>
        <v/>
      </c>
      <c r="B4428" t="inlineStr">
        <is>
          <t>0:25</t>
        </is>
      </c>
      <c r="C4428" t="inlineStr">
        <is>
          <t>- Tesla began selling a
driver assistance package</t>
        </is>
      </c>
      <c r="D4428">
        <f>HYPERLINK("https://www.youtube.com/watch?v=uNPHJfDnniY&amp;t=25s", "Go to time")</f>
        <v/>
      </c>
    </row>
    <row r="4429">
      <c r="A4429">
        <f>HYPERLINK("https://www.youtube.com/watch?v=uNPHJfDnniY", "Video")</f>
        <v/>
      </c>
      <c r="B4429" t="inlineStr">
        <is>
          <t>0:38</t>
        </is>
      </c>
      <c r="C4429" t="inlineStr">
        <is>
          <t>drivers navigate in cities
is part of that package.</t>
        </is>
      </c>
      <c r="D4429">
        <f>HYPERLINK("https://www.youtube.com/watch?v=uNPHJfDnniY&amp;t=38s", "Go to time")</f>
        <v/>
      </c>
    </row>
    <row r="4430">
      <c r="A4430">
        <f>HYPERLINK("https://www.youtube.com/watch?v=uNPHJfDnniY", "Video")</f>
        <v/>
      </c>
      <c r="B4430" t="inlineStr">
        <is>
          <t>0:46</t>
        </is>
      </c>
      <c r="C4430" t="inlineStr">
        <is>
          <t>FSD system of driver assistance tools</t>
        </is>
      </c>
      <c r="D4430">
        <f>HYPERLINK("https://www.youtube.com/watch?v=uNPHJfDnniY&amp;t=46s", "Go to time")</f>
        <v/>
      </c>
    </row>
    <row r="4431">
      <c r="A4431">
        <f>HYPERLINK("https://www.youtube.com/watch?v=uNPHJfDnniY", "Video")</f>
        <v/>
      </c>
      <c r="B4431" t="inlineStr">
        <is>
          <t>1:45</t>
        </is>
      </c>
      <c r="C4431" t="inlineStr">
        <is>
          <t>Drivers have now been able
to request the feature,</t>
        </is>
      </c>
      <c r="D4431">
        <f>HYPERLINK("https://www.youtube.com/watch?v=uNPHJfDnniY&amp;t=105s", "Go to time")</f>
        <v/>
      </c>
    </row>
    <row r="4432">
      <c r="A4432">
        <f>HYPERLINK("https://www.youtube.com/watch?v=uNPHJfDnniY", "Video")</f>
        <v/>
      </c>
      <c r="B4432" t="inlineStr">
        <is>
          <t>2:19</t>
        </is>
      </c>
      <c r="C4432" t="inlineStr">
        <is>
          <t>to drivers progressively
around a thousand a day</t>
        </is>
      </c>
      <c r="D4432">
        <f>HYPERLINK("https://www.youtube.com/watch?v=uNPHJfDnniY&amp;t=139s", "Go to time")</f>
        <v/>
      </c>
    </row>
    <row r="4433">
      <c r="A4433">
        <f>HYPERLINK("https://www.youtube.com/watch?v=uNPHJfDnniY", "Video")</f>
        <v/>
      </c>
      <c r="B4433" t="inlineStr">
        <is>
          <t>2:37</t>
        </is>
      </c>
      <c r="C4433" t="inlineStr">
        <is>
          <t>- A Bay Area Tesla driver
was playing video games</t>
        </is>
      </c>
      <c r="D4433">
        <f>HYPERLINK("https://www.youtube.com/watch?v=uNPHJfDnniY&amp;t=157s", "Go to time")</f>
        <v/>
      </c>
    </row>
    <row r="4434">
      <c r="A4434">
        <f>HYPERLINK("https://www.youtube.com/watch?v=uNPHJfDnniY", "Video")</f>
        <v/>
      </c>
      <c r="B4434" t="inlineStr">
        <is>
          <t>2:47</t>
        </is>
      </c>
      <c r="C4434" t="inlineStr">
        <is>
          <t>of the company's driver
assistance software.</t>
        </is>
      </c>
      <c r="D4434">
        <f>HYPERLINK("https://www.youtube.com/watch?v=uNPHJfDnniY&amp;t=167s", "Go to time")</f>
        <v/>
      </c>
    </row>
    <row r="4435">
      <c r="A4435">
        <f>HYPERLINK("https://www.youtube.com/watch?v=uNPHJfDnniY", "Video")</f>
        <v/>
      </c>
      <c r="B4435" t="inlineStr">
        <is>
          <t>2:52</t>
        </is>
      </c>
      <c r="C4435" t="inlineStr">
        <is>
          <t>has been critical of Tesla's
driver assistance systems,</t>
        </is>
      </c>
      <c r="D4435">
        <f>HYPERLINK("https://www.youtube.com/watch?v=uNPHJfDnniY&amp;t=172s", "Go to time")</f>
        <v/>
      </c>
    </row>
    <row r="4436">
      <c r="A4436">
        <f>HYPERLINK("https://www.youtube.com/watch?v=uNPHJfDnniY", "Video")</f>
        <v/>
      </c>
      <c r="B4436" t="inlineStr">
        <is>
          <t>3:24</t>
        </is>
      </c>
      <c r="C4436" t="inlineStr">
        <is>
          <t>- [Narrator] Tesla's
driver assistance software</t>
        </is>
      </c>
      <c r="D4436">
        <f>HYPERLINK("https://www.youtube.com/watch?v=uNPHJfDnniY&amp;t=204s", "Go to time")</f>
        <v/>
      </c>
    </row>
    <row r="4437">
      <c r="A4437">
        <f>HYPERLINK("https://www.youtube.com/watch?v=uNPHJfDnniY", "Video")</f>
        <v/>
      </c>
      <c r="B4437" t="inlineStr">
        <is>
          <t>3:44</t>
        </is>
      </c>
      <c r="C4437" t="inlineStr">
        <is>
          <t>- Tesla drivers have identified</t>
        </is>
      </c>
      <c r="D4437">
        <f>HYPERLINK("https://www.youtube.com/watch?v=uNPHJfDnniY&amp;t=224s", "Go to time")</f>
        <v/>
      </c>
    </row>
    <row r="4438">
      <c r="A4438">
        <f>HYPERLINK("https://www.youtube.com/watch?v=uNPHJfDnniY", "Video")</f>
        <v/>
      </c>
      <c r="B4438" t="inlineStr">
        <is>
          <t>3:56</t>
        </is>
      </c>
      <c r="C4438" t="inlineStr">
        <is>
          <t>from some lawmakers about its
driver assistance software.</t>
        </is>
      </c>
      <c r="D4438">
        <f>HYPERLINK("https://www.youtube.com/watch?v=uNPHJfDnniY&amp;t=236s", "Go to time")</f>
        <v/>
      </c>
    </row>
    <row r="4439">
      <c r="A4439">
        <f>HYPERLINK("https://www.youtube.com/watch?v=jVGP0RkGqGE", "Video")</f>
        <v/>
      </c>
      <c r="B4439" t="inlineStr">
        <is>
          <t>13:17</t>
        </is>
      </c>
      <c r="C4439" t="inlineStr">
        <is>
          <t>got Google Glass coming out driverless</t>
        </is>
      </c>
      <c r="D4439">
        <f>HYPERLINK("https://www.youtube.com/watch?v=jVGP0RkGqGE&amp;t=797s", "Go to time")</f>
        <v/>
      </c>
    </row>
    <row r="4440">
      <c r="A4440">
        <f>HYPERLINK("https://www.youtube.com/watch?v=yq10sNUlG5s", "Video")</f>
        <v/>
      </c>
      <c r="B4440" t="inlineStr">
        <is>
          <t>0:44</t>
        </is>
      </c>
      <c r="C4440" t="inlineStr">
        <is>
          <t>about Mexico's drive for growth</t>
        </is>
      </c>
      <c r="D4440">
        <f>HYPERLINK("https://www.youtube.com/watch?v=yq10sNUlG5s&amp;t=44s", "Go to time")</f>
        <v/>
      </c>
    </row>
    <row r="4441">
      <c r="A4441">
        <f>HYPERLINK("https://www.youtube.com/watch?v=S3ZOggkouM0", "Video")</f>
        <v/>
      </c>
      <c r="B4441" t="inlineStr">
        <is>
          <t>4:52</t>
        </is>
      </c>
      <c r="C4441" t="inlineStr">
        <is>
          <t>drives all my other causes is not to</t>
        </is>
      </c>
      <c r="D4441">
        <f>HYPERLINK("https://www.youtube.com/watch?v=S3ZOggkouM0&amp;t=292s", "Go to time")</f>
        <v/>
      </c>
    </row>
    <row r="4442">
      <c r="A4442">
        <f>HYPERLINK("https://www.youtube.com/watch?v=cYBgE5C4HaY", "Video")</f>
        <v/>
      </c>
      <c r="B4442" t="inlineStr">
        <is>
          <t>1:13</t>
        </is>
      </c>
      <c r="C4442" t="inlineStr">
        <is>
          <t>demons and turn them into drives I want</t>
        </is>
      </c>
      <c r="D4442">
        <f>HYPERLINK("https://www.youtube.com/watch?v=cYBgE5C4HaY&amp;t=73s", "Go to time")</f>
        <v/>
      </c>
    </row>
    <row r="4443">
      <c r="A4443">
        <f>HYPERLINK("https://www.youtube.com/watch?v=cYBgE5C4HaY", "Video")</f>
        <v/>
      </c>
      <c r="B4443" t="inlineStr">
        <is>
          <t>12:38</t>
        </is>
      </c>
      <c r="C4443" t="inlineStr">
        <is>
          <t>driven people crazy but it wouldn't have</t>
        </is>
      </c>
      <c r="D4443">
        <f>HYPERLINK("https://www.youtube.com/watch?v=cYBgE5C4HaY&amp;t=758s", "Go to time")</f>
        <v/>
      </c>
    </row>
    <row r="4444">
      <c r="A4444">
        <f>HYPERLINK("https://www.youtube.com/watch?v=cYBgE5C4HaY", "Video")</f>
        <v/>
      </c>
      <c r="B4444" t="inlineStr">
        <is>
          <t>12:39</t>
        </is>
      </c>
      <c r="C4444" t="inlineStr">
        <is>
          <t>driven people to do things they didn't</t>
        </is>
      </c>
      <c r="D4444">
        <f>HYPERLINK("https://www.youtube.com/watch?v=cYBgE5C4HaY&amp;t=759s", "Go to time")</f>
        <v/>
      </c>
    </row>
    <row r="4445">
      <c r="A4445">
        <f>HYPERLINK("https://www.youtube.com/watch?v=cYBgE5C4HaY", "Video")</f>
        <v/>
      </c>
      <c r="B4445" t="inlineStr">
        <is>
          <t>23:28</t>
        </is>
      </c>
      <c r="C4445" t="inlineStr">
        <is>
          <t>as truly driven by these epic missions</t>
        </is>
      </c>
      <c r="D4445">
        <f>HYPERLINK("https://www.youtube.com/watch?v=cYBgE5C4HaY&amp;t=1408s", "Go to time")</f>
        <v/>
      </c>
    </row>
    <row r="4446">
      <c r="A4446">
        <f>HYPERLINK("https://www.youtube.com/watch?v=CTcTrZenh3k", "Video")</f>
        <v/>
      </c>
      <c r="B4446" t="inlineStr">
        <is>
          <t>1:06</t>
        </is>
      </c>
      <c r="C4446" t="inlineStr">
        <is>
          <t>much of the growth is being driven by</t>
        </is>
      </c>
      <c r="D4446">
        <f>HYPERLINK("https://www.youtube.com/watch?v=CTcTrZenh3k&amp;t=66s", "Go to time")</f>
        <v/>
      </c>
    </row>
    <row r="4447">
      <c r="A4447">
        <f>HYPERLINK("https://www.youtube.com/watch?v=0nTQIvfVHrw", "Video")</f>
        <v/>
      </c>
      <c r="B4447" t="inlineStr">
        <is>
          <t>1:08</t>
        </is>
      </c>
      <c r="C4447" t="inlineStr">
        <is>
          <t>to some world class derby drivers.</t>
        </is>
      </c>
      <c r="D4447">
        <f>HYPERLINK("https://www.youtube.com/watch?v=0nTQIvfVHrw&amp;t=68s", "Go to time")</f>
        <v/>
      </c>
    </row>
    <row r="4448">
      <c r="A4448">
        <f>HYPERLINK("https://www.youtube.com/watch?v=0nTQIvfVHrw", "Video")</f>
        <v/>
      </c>
      <c r="B4448" t="inlineStr">
        <is>
          <t>2:14</t>
        </is>
      </c>
      <c r="C4448" t="inlineStr">
        <is>
          <t>everyone but the driver
stood at a safe distance.</t>
        </is>
      </c>
      <c r="D4448">
        <f>HYPERLINK("https://www.youtube.com/watch?v=0nTQIvfVHrw&amp;t=134s", "Go to time")</f>
        <v/>
      </c>
    </row>
    <row r="4449">
      <c r="A4449">
        <f>HYPERLINK("https://www.youtube.com/watch?v=0nTQIvfVHrw", "Video")</f>
        <v/>
      </c>
      <c r="B4449" t="inlineStr">
        <is>
          <t>4:49</t>
        </is>
      </c>
      <c r="C4449" t="inlineStr">
        <is>
          <t>The windows go up and it will drive.</t>
        </is>
      </c>
      <c r="D4449">
        <f>HYPERLINK("https://www.youtube.com/watch?v=0nTQIvfVHrw&amp;t=289s", "Go to time")</f>
        <v/>
      </c>
    </row>
    <row r="4450">
      <c r="A4450">
        <f>HYPERLINK("https://www.youtube.com/watch?v=0nTQIvfVHrw", "Video")</f>
        <v/>
      </c>
      <c r="B4450" t="inlineStr">
        <is>
          <t>4:55</t>
        </is>
      </c>
      <c r="C4450" t="inlineStr">
        <is>
          <t>Notably that it wasn't being driven.</t>
        </is>
      </c>
      <c r="D4450">
        <f>HYPERLINK("https://www.youtube.com/watch?v=0nTQIvfVHrw&amp;t=295s", "Go to time")</f>
        <v/>
      </c>
    </row>
    <row r="4451">
      <c r="A4451">
        <f>HYPERLINK("https://www.youtube.com/watch?v=0nTQIvfVHrw", "Video")</f>
        <v/>
      </c>
      <c r="B4451" t="inlineStr">
        <is>
          <t>6:59</t>
        </is>
      </c>
      <c r="C4451" t="inlineStr">
        <is>
          <t>- You ready to drive?</t>
        </is>
      </c>
      <c r="D4451">
        <f>HYPERLINK("https://www.youtube.com/watch?v=0nTQIvfVHrw&amp;t=419s", "Go to time")</f>
        <v/>
      </c>
    </row>
    <row r="4452">
      <c r="A4452">
        <f>HYPERLINK("https://www.youtube.com/watch?v=0nTQIvfVHrw", "Video")</f>
        <v/>
      </c>
      <c r="B4452" t="inlineStr">
        <is>
          <t>7:00</t>
        </is>
      </c>
      <c r="C4452" t="inlineStr">
        <is>
          <t>- I drive like your grandma.</t>
        </is>
      </c>
      <c r="D4452">
        <f>HYPERLINK("https://www.youtube.com/watch?v=0nTQIvfVHrw&amp;t=420s", "Go to time")</f>
        <v/>
      </c>
    </row>
    <row r="4453">
      <c r="A4453">
        <f>HYPERLINK("https://www.youtube.com/watch?v=S8xwEB_co2o", "Video")</f>
        <v/>
      </c>
      <c r="B4453" t="inlineStr">
        <is>
          <t>2:13</t>
        </is>
      </c>
      <c r="C4453" t="inlineStr">
        <is>
          <t>And so they could really drive</t>
        </is>
      </c>
      <c r="D4453">
        <f>HYPERLINK("https://www.youtube.com/watch?v=S8xwEB_co2o&amp;t=133s", "Go to time")</f>
        <v/>
      </c>
    </row>
    <row r="4454">
      <c r="A4454">
        <f>HYPERLINK("https://www.youtube.com/watch?v=Mr-5i6iI2_Y", "Video")</f>
        <v/>
      </c>
      <c r="B4454" t="inlineStr">
        <is>
          <t>0:05</t>
        </is>
      </c>
      <c r="C4454" t="inlineStr">
        <is>
          <t>we all know the driverless car is in our</t>
        </is>
      </c>
      <c r="D4454">
        <f>HYPERLINK("https://www.youtube.com/watch?v=Mr-5i6iI2_Y&amp;t=5s", "Go to time")</f>
        <v/>
      </c>
    </row>
    <row r="4455">
      <c r="A4455">
        <f>HYPERLINK("https://www.youtube.com/watch?v=Mr-5i6iI2_Y", "Video")</f>
        <v/>
      </c>
      <c r="B4455" t="inlineStr">
        <is>
          <t>0:19</t>
        </is>
      </c>
      <c r="C4455" t="inlineStr">
        <is>
          <t>drive around Tokyo in a prototype of</t>
        </is>
      </c>
      <c r="D4455">
        <f>HYPERLINK("https://www.youtube.com/watch?v=Mr-5i6iI2_Y&amp;t=19s", "Go to time")</f>
        <v/>
      </c>
    </row>
    <row r="4456">
      <c r="A4456">
        <f>HYPERLINK("https://www.youtube.com/watch?v=Mr-5i6iI2_Y", "Video")</f>
        <v/>
      </c>
      <c r="B4456" t="inlineStr">
        <is>
          <t>0:44</t>
        </is>
      </c>
      <c r="C4456" t="inlineStr">
        <is>
          <t>autonomous Drive is a connected okay so</t>
        </is>
      </c>
      <c r="D4456">
        <f>HYPERLINK("https://www.youtube.com/watch?v=Mr-5i6iI2_Y&amp;t=44s", "Go to time")</f>
        <v/>
      </c>
    </row>
    <row r="4457">
      <c r="A4457">
        <f>HYPERLINK("https://www.youtube.com/watch?v=Mr-5i6iI2_Y", "Video")</f>
        <v/>
      </c>
      <c r="B4457" t="inlineStr">
        <is>
          <t>0:50</t>
        </is>
      </c>
      <c r="C4457" t="inlineStr">
        <is>
          <t>yeah and the drive B interesting once</t>
        </is>
      </c>
      <c r="D4457">
        <f>HYPERLINK("https://www.youtube.com/watch?v=Mr-5i6iI2_Y&amp;t=50s", "Go to time")</f>
        <v/>
      </c>
    </row>
    <row r="4458">
      <c r="A4458">
        <f>HYPERLINK("https://www.youtube.com/watch?v=Mr-5i6iI2_Y", "Video")</f>
        <v/>
      </c>
      <c r="B4458" t="inlineStr">
        <is>
          <t>1:28</t>
        </is>
      </c>
      <c r="C4458" t="inlineStr">
        <is>
          <t>the only one working on a driverless car</t>
        </is>
      </c>
      <c r="D4458">
        <f>HYPERLINK("https://www.youtube.com/watch?v=Mr-5i6iI2_Y&amp;t=88s", "Go to time")</f>
        <v/>
      </c>
    </row>
    <row r="4459">
      <c r="A4459">
        <f>HYPERLINK("https://www.youtube.com/watch?v=Mr-5i6iI2_Y", "Video")</f>
        <v/>
      </c>
      <c r="B4459" t="inlineStr">
        <is>
          <t>1:36</t>
        </is>
      </c>
      <c r="C4459" t="inlineStr">
        <is>
          <t>never needs a driver behind the wheel</t>
        </is>
      </c>
      <c r="D4459">
        <f>HYPERLINK("https://www.youtube.com/watch?v=Mr-5i6iI2_Y&amp;t=96s", "Go to time")</f>
        <v/>
      </c>
    </row>
    <row r="4460">
      <c r="A4460">
        <f>HYPERLINK("https://www.youtube.com/watch?v=Mr-5i6iI2_Y", "Video")</f>
        <v/>
      </c>
      <c r="B4460" t="inlineStr">
        <is>
          <t>1:50</t>
        </is>
      </c>
      <c r="C4460" t="inlineStr">
        <is>
          <t>allowing the driver to take his hands</t>
        </is>
      </c>
      <c r="D4460">
        <f>HYPERLINK("https://www.youtube.com/watch?v=Mr-5i6iI2_Y&amp;t=110s", "Go to time")</f>
        <v/>
      </c>
    </row>
    <row r="4461">
      <c r="A4461">
        <f>HYPERLINK("https://www.youtube.com/watch?v=r_e1ytlC5Vo", "Video")</f>
        <v/>
      </c>
      <c r="B4461" t="inlineStr">
        <is>
          <t>2:31</t>
        </is>
      </c>
      <c r="C4461" t="inlineStr">
        <is>
          <t>We cannot drive.</t>
        </is>
      </c>
      <c r="D4461">
        <f>HYPERLINK("https://www.youtube.com/watch?v=r_e1ytlC5Vo&amp;t=151s", "Go to time")</f>
        <v/>
      </c>
    </row>
    <row r="4462">
      <c r="A4462">
        <f>HYPERLINK("https://www.youtube.com/watch?v=evbIlW0qn7s", "Video")</f>
        <v/>
      </c>
      <c r="B4462" t="inlineStr">
        <is>
          <t>0:01</t>
        </is>
      </c>
      <c r="C4462" t="inlineStr">
        <is>
          <t>the truck driver who barreled through a</t>
        </is>
      </c>
      <c r="D4462">
        <f>HYPERLINK("https://www.youtube.com/watch?v=evbIlW0qn7s&amp;t=1s", "Go to time")</f>
        <v/>
      </c>
    </row>
    <row r="4463">
      <c r="A4463">
        <f>HYPERLINK("https://www.youtube.com/watch?v=evbIlW0qn7s", "Video")</f>
        <v/>
      </c>
      <c r="B4463" t="inlineStr">
        <is>
          <t>0:30</t>
        </is>
      </c>
      <c r="C4463" t="inlineStr">
        <is>
          <t>Rampage but he managed to drive forward</t>
        </is>
      </c>
      <c r="D4463">
        <f>HYPERLINK("https://www.youtube.com/watch?v=evbIlW0qn7s&amp;t=30s", "Go to time")</f>
        <v/>
      </c>
    </row>
    <row r="4464">
      <c r="A4464">
        <f>HYPERLINK("https://www.youtube.com/watch?v=evbIlW0qn7s", "Video")</f>
        <v/>
      </c>
      <c r="B4464" t="inlineStr">
        <is>
          <t>0:40</t>
        </is>
      </c>
      <c r="C4464" t="inlineStr">
        <is>
          <t>as a freelance truck driver authorities</t>
        </is>
      </c>
      <c r="D4464">
        <f>HYPERLINK("https://www.youtube.com/watch?v=evbIlW0qn7s&amp;t=40s", "Go to time")</f>
        <v/>
      </c>
    </row>
    <row r="4465">
      <c r="A4465">
        <f>HYPERLINK("https://www.youtube.com/watch?v=pHzfsbW4A5U", "Video")</f>
        <v/>
      </c>
      <c r="B4465" t="inlineStr">
        <is>
          <t>3:55</t>
        </is>
      </c>
      <c r="C4465" t="inlineStr">
        <is>
          <t>to kick further into overdrive,</t>
        </is>
      </c>
      <c r="D4465">
        <f>HYPERLINK("https://www.youtube.com/watch?v=pHzfsbW4A5U&amp;t=235s", "Go to time")</f>
        <v/>
      </c>
    </row>
    <row r="4466">
      <c r="A4466">
        <f>HYPERLINK("https://www.youtube.com/watch?v=metMoxX9eAw", "Video")</f>
        <v/>
      </c>
      <c r="B4466" t="inlineStr">
        <is>
          <t>4:50</t>
        </is>
      </c>
      <c r="C4466" t="inlineStr">
        <is>
          <t>- At Target, that higher
margin drives profit?</t>
        </is>
      </c>
      <c r="D4466">
        <f>HYPERLINK("https://www.youtube.com/watch?v=metMoxX9eAw&amp;t=290s", "Go to time")</f>
        <v/>
      </c>
    </row>
    <row r="4467">
      <c r="A4467">
        <f>HYPERLINK("https://www.youtube.com/watch?v=uw04nk7y0Mk", "Video")</f>
        <v/>
      </c>
      <c r="B4467" t="inlineStr">
        <is>
          <t>1:12</t>
        </is>
      </c>
      <c r="C4467" t="inlineStr">
        <is>
          <t>character-driven and um they're allowed</t>
        </is>
      </c>
      <c r="D4467">
        <f>HYPERLINK("https://www.youtube.com/watch?v=uw04nk7y0Mk&amp;t=72s", "Go to time")</f>
        <v/>
      </c>
    </row>
    <row r="4468">
      <c r="A4468">
        <f>HYPERLINK("https://www.youtube.com/watch?v=Z5cTxSjjEXI", "Video")</f>
        <v/>
      </c>
      <c r="B4468" t="inlineStr">
        <is>
          <t>0:08</t>
        </is>
      </c>
      <c r="C4468" t="inlineStr">
        <is>
          <t>driverless cars are poised to overhaul</t>
        </is>
      </c>
      <c r="D4468">
        <f>HYPERLINK("https://www.youtube.com/watch?v=Z5cTxSjjEXI&amp;t=8s", "Go to time")</f>
        <v/>
      </c>
    </row>
    <row r="4469">
      <c r="A4469">
        <f>HYPERLINK("https://www.youtube.com/watch?v=Z5cTxSjjEXI", "Video")</f>
        <v/>
      </c>
      <c r="B4469" t="inlineStr">
        <is>
          <t>0:55</t>
        </is>
      </c>
      <c r="C4469" t="inlineStr">
        <is>
          <t>operations and driverless cars to</t>
        </is>
      </c>
      <c r="D4469">
        <f>HYPERLINK("https://www.youtube.com/watch?v=Z5cTxSjjEXI&amp;t=55s", "Go to time")</f>
        <v/>
      </c>
    </row>
    <row r="4470">
      <c r="A4470">
        <f>HYPERLINK("https://www.youtube.com/watch?v=Rnk24tBxg-I", "Video")</f>
        <v/>
      </c>
      <c r="B4470" t="inlineStr">
        <is>
          <t>2:46</t>
        </is>
      </c>
      <c r="C4470" t="inlineStr">
        <is>
          <t>letting drivers turn them</t>
        </is>
      </c>
      <c r="D4470">
        <f>HYPERLINK("https://www.youtube.com/watch?v=Rnk24tBxg-I&amp;t=166s", "Go to time")</f>
        <v/>
      </c>
    </row>
    <row r="4471">
      <c r="A4471">
        <f>HYPERLINK("https://www.youtube.com/watch?v=u0z2PBjYxWE", "Video")</f>
        <v/>
      </c>
      <c r="B4471" t="inlineStr">
        <is>
          <t>1:19</t>
        </is>
      </c>
      <c r="C4471" t="inlineStr">
        <is>
          <t>they're both really smart really driven</t>
        </is>
      </c>
      <c r="D4471">
        <f>HYPERLINK("https://www.youtube.com/watch?v=u0z2PBjYxWE&amp;t=79s", "Go to time")</f>
        <v/>
      </c>
    </row>
    <row r="4472">
      <c r="A4472">
        <f>HYPERLINK("https://www.youtube.com/watch?v=c-ajLEGP1Oc", "Video")</f>
        <v/>
      </c>
      <c r="B4472" t="inlineStr">
        <is>
          <t>1:08</t>
        </is>
      </c>
      <c r="C4472" t="inlineStr">
        <is>
          <t>the driver sits in the center and can</t>
        </is>
      </c>
      <c r="D4472">
        <f>HYPERLINK("https://www.youtube.com/watch?v=c-ajLEGP1Oc&amp;t=68s", "Go to time")</f>
        <v/>
      </c>
    </row>
    <row r="4473">
      <c r="A4473">
        <f>HYPERLINK("https://www.youtube.com/watch?v=c-ajLEGP1Oc", "Video")</f>
        <v/>
      </c>
      <c r="B4473" t="inlineStr">
        <is>
          <t>1:16</t>
        </is>
      </c>
      <c r="C4473" t="inlineStr">
        <is>
          <t>drivers to find the mechanical beauty of</t>
        </is>
      </c>
      <c r="D4473">
        <f>HYPERLINK("https://www.youtube.com/watch?v=c-ajLEGP1Oc&amp;t=76s", "Go to time")</f>
        <v/>
      </c>
    </row>
    <row r="4474">
      <c r="A4474">
        <f>HYPERLINK("https://www.youtube.com/watch?v=OX-ZFFhRaPY", "Video")</f>
        <v/>
      </c>
      <c r="B4474" t="inlineStr">
        <is>
          <t>25:22</t>
        </is>
      </c>
      <c r="C4474" t="inlineStr">
        <is>
          <t>that Uber drivers for example cannot</t>
        </is>
      </c>
      <c r="D4474">
        <f>HYPERLINK("https://www.youtube.com/watch?v=OX-ZFFhRaPY&amp;t=1522s", "Go to time")</f>
        <v/>
      </c>
    </row>
    <row r="4475">
      <c r="A4475">
        <f>HYPERLINK("https://www.youtube.com/watch?v=M2M8LqOVBaE", "Video")</f>
        <v/>
      </c>
      <c r="B4475" t="inlineStr">
        <is>
          <t>1:48</t>
        </is>
      </c>
      <c r="C4475" t="inlineStr">
        <is>
          <t>how close your driver is would be a big</t>
        </is>
      </c>
      <c r="D4475">
        <f>HYPERLINK("https://www.youtube.com/watch?v=M2M8LqOVBaE&amp;t=108s", "Go to time")</f>
        <v/>
      </c>
    </row>
    <row r="4476">
      <c r="A4476">
        <f>HYPERLINK("https://www.youtube.com/watch?v=4UTt-1o5PQw", "Video")</f>
        <v/>
      </c>
      <c r="B4476" t="inlineStr">
        <is>
          <t>2:59</t>
        </is>
      </c>
      <c r="C4476" t="inlineStr">
        <is>
          <t>hypothalamus a region that drives</t>
        </is>
      </c>
      <c r="D4476">
        <f>HYPERLINK("https://www.youtube.com/watch?v=4UTt-1o5PQw&amp;t=179s", "Go to time")</f>
        <v/>
      </c>
    </row>
    <row r="4477">
      <c r="A4477">
        <f>HYPERLINK("https://www.youtube.com/watch?v=b88mOUwxyJk", "Video")</f>
        <v/>
      </c>
      <c r="B4477" t="inlineStr">
        <is>
          <t>3:19</t>
        </is>
      </c>
      <c r="C4477" t="inlineStr">
        <is>
          <t>a drive to produce chips locally,</t>
        </is>
      </c>
      <c r="D4477">
        <f>HYPERLINK("https://www.youtube.com/watch?v=b88mOUwxyJk&amp;t=199s", "Go to time")</f>
        <v/>
      </c>
    </row>
    <row r="4478">
      <c r="A4478">
        <f>HYPERLINK("https://www.youtube.com/watch?v=nB072YBwMUE", "Video")</f>
        <v/>
      </c>
      <c r="B4478" t="inlineStr">
        <is>
          <t>3:01</t>
        </is>
      </c>
      <c r="C4478" t="inlineStr">
        <is>
          <t>to prove that I hadn't driven myself or</t>
        </is>
      </c>
      <c r="D4478">
        <f>HYPERLINK("https://www.youtube.com/watch?v=nB072YBwMUE&amp;t=181s", "Go to time")</f>
        <v/>
      </c>
    </row>
    <row r="4479">
      <c r="A4479">
        <f>HYPERLINK("https://www.youtube.com/watch?v=94zn-OimoHQ", "Video")</f>
        <v/>
      </c>
      <c r="B4479" t="inlineStr">
        <is>
          <t>0:10</t>
        </is>
      </c>
      <c r="C4479" t="inlineStr">
        <is>
          <t>to drive multi-billion
dollar industries such</t>
        </is>
      </c>
      <c r="D4479">
        <f>HYPERLINK("https://www.youtube.com/watch?v=94zn-OimoHQ&amp;t=10s", "Go to time")</f>
        <v/>
      </c>
    </row>
    <row r="4480">
      <c r="A4480">
        <f>HYPERLINK("https://www.youtube.com/watch?v=SPSyO1aCuCo", "Video")</f>
        <v/>
      </c>
      <c r="B4480" t="inlineStr">
        <is>
          <t>1:37</t>
        </is>
      </c>
      <c r="C4480" t="inlineStr">
        <is>
          <t>the big drivers and so consumers are</t>
        </is>
      </c>
      <c r="D4480">
        <f>HYPERLINK("https://www.youtube.com/watch?v=SPSyO1aCuCo&amp;t=97s", "Go to time")</f>
        <v/>
      </c>
    </row>
    <row r="4481">
      <c r="A4481">
        <f>HYPERLINK("https://www.youtube.com/watch?v=cwQ81djcFVs", "Video")</f>
        <v/>
      </c>
      <c r="B4481" t="inlineStr">
        <is>
          <t>2:31</t>
        </is>
      </c>
      <c r="C4481" t="inlineStr">
        <is>
          <t>drive themselves on the highway and he's</t>
        </is>
      </c>
      <c r="D4481">
        <f>HYPERLINK("https://www.youtube.com/watch?v=cwQ81djcFVs&amp;t=151s", "Go to time")</f>
        <v/>
      </c>
    </row>
    <row r="4482">
      <c r="A4482">
        <f>HYPERLINK("https://www.youtube.com/watch?v=cwQ81djcFVs", "Video")</f>
        <v/>
      </c>
      <c r="B4482" t="inlineStr">
        <is>
          <t>2:35</t>
        </is>
      </c>
      <c r="C4482" t="inlineStr">
        <is>
          <t>cars will be able to pretty much drive</t>
        </is>
      </c>
      <c r="D4482">
        <f>HYPERLINK("https://www.youtube.com/watch?v=cwQ81djcFVs&amp;t=155s", "Go to time")</f>
        <v/>
      </c>
    </row>
    <row r="4483">
      <c r="A4483">
        <f>HYPERLINK("https://www.youtube.com/watch?v=SSkTa7aKTpc", "Video")</f>
        <v/>
      </c>
      <c r="B4483" t="inlineStr">
        <is>
          <t>0:52</t>
        </is>
      </c>
      <c r="C4483" t="inlineStr">
        <is>
          <t>mindless drivel Joanna what you own the</t>
        </is>
      </c>
      <c r="D4483">
        <f>HYPERLINK("https://www.youtube.com/watch?v=SSkTa7aKTpc&amp;t=52s", "Go to time")</f>
        <v/>
      </c>
    </row>
    <row r="4484">
      <c r="A4484">
        <f>HYPERLINK("https://www.youtube.com/watch?v=meSt8DBTkPQ", "Video")</f>
        <v/>
      </c>
      <c r="B4484" t="inlineStr">
        <is>
          <t>5:16</t>
        </is>
      </c>
      <c r="C4484" t="inlineStr">
        <is>
          <t>It's called Drive.</t>
        </is>
      </c>
      <c r="D4484">
        <f>HYPERLINK("https://www.youtube.com/watch?v=meSt8DBTkPQ&amp;t=316s", "Go to time")</f>
        <v/>
      </c>
    </row>
    <row r="4485">
      <c r="A4485">
        <f>HYPERLINK("https://www.youtube.com/watch?v=meSt8DBTkPQ", "Video")</f>
        <v/>
      </c>
      <c r="B4485" t="inlineStr">
        <is>
          <t>5:36</t>
        </is>
      </c>
      <c r="C4485" t="inlineStr">
        <is>
          <t>- [Female Narrator] Nvidia's
autonomous drive platform</t>
        </is>
      </c>
      <c r="D4485">
        <f>HYPERLINK("https://www.youtube.com/watch?v=meSt8DBTkPQ&amp;t=336s", "Go to time")</f>
        <v/>
      </c>
    </row>
    <row r="4486">
      <c r="A4486">
        <f>HYPERLINK("https://www.youtube.com/watch?v=_vRIMjkNdCs", "Video")</f>
        <v/>
      </c>
      <c r="B4486" t="inlineStr">
        <is>
          <t>2:25</t>
        </is>
      </c>
      <c r="C4486" t="inlineStr">
        <is>
          <t>to drive through their agenda.</t>
        </is>
      </c>
      <c r="D4486">
        <f>HYPERLINK("https://www.youtube.com/watch?v=_vRIMjkNdCs&amp;t=145s", "Go to time")</f>
        <v/>
      </c>
    </row>
    <row r="4487">
      <c r="A4487">
        <f>HYPERLINK("https://www.youtube.com/watch?v=_vRIMjkNdCs", "Video")</f>
        <v/>
      </c>
      <c r="B4487" t="inlineStr">
        <is>
          <t>2:41</t>
        </is>
      </c>
      <c r="C4487" t="inlineStr">
        <is>
          <t>and he is now going to drive the agenda.</t>
        </is>
      </c>
      <c r="D4487">
        <f>HYPERLINK("https://www.youtube.com/watch?v=_vRIMjkNdCs&amp;t=161s", "Go to time")</f>
        <v/>
      </c>
    </row>
    <row r="4488">
      <c r="A4488">
        <f>HYPERLINK("https://www.youtube.com/watch?v=8AE7QxinjeQ", "Video")</f>
        <v/>
      </c>
      <c r="B4488" t="inlineStr">
        <is>
          <t>3:03</t>
        </is>
      </c>
      <c r="C4488" t="inlineStr">
        <is>
          <t>from a wedge issue used to drive us</t>
        </is>
      </c>
      <c r="D4488">
        <f>HYPERLINK("https://www.youtube.com/watch?v=8AE7QxinjeQ&amp;t=183s", "Go to time")</f>
        <v/>
      </c>
    </row>
    <row r="4489">
      <c r="A4489">
        <f>HYPERLINK("https://www.youtube.com/watch?v=8C06tFSO4JY", "Video")</f>
        <v/>
      </c>
      <c r="B4489" t="inlineStr">
        <is>
          <t>0:03</t>
        </is>
      </c>
      <c r="C4489" t="inlineStr">
        <is>
          <t>get in and we just drive off so it was</t>
        </is>
      </c>
      <c r="D4489">
        <f>HYPERLINK("https://www.youtube.com/watch?v=8C06tFSO4JY&amp;t=3s", "Go to time")</f>
        <v/>
      </c>
    </row>
    <row r="4490">
      <c r="A4490">
        <f>HYPERLINK("https://www.youtube.com/watch?v=uQwYL6QXMLE", "Video")</f>
        <v/>
      </c>
      <c r="B4490" t="inlineStr">
        <is>
          <t>0:37</t>
        </is>
      </c>
      <c r="C4490" t="inlineStr">
        <is>
          <t>recruiting drive to get more cattle</t>
        </is>
      </c>
      <c r="D4490">
        <f>HYPERLINK("https://www.youtube.com/watch?v=uQwYL6QXMLE&amp;t=37s", "Go to time")</f>
        <v/>
      </c>
    </row>
    <row r="4491">
      <c r="A4491">
        <f>HYPERLINK("https://www.youtube.com/watch?v=og91u9L9Dp0", "Video")</f>
        <v/>
      </c>
      <c r="B4491" t="inlineStr">
        <is>
          <t>0:00</t>
        </is>
      </c>
      <c r="C4491" t="inlineStr">
        <is>
          <t>a daredevil drivers throw all caution</t>
        </is>
      </c>
      <c r="D4491">
        <f>HYPERLINK("https://www.youtube.com/watch?v=og91u9L9Dp0&amp;t=0s", "Go to time")</f>
        <v/>
      </c>
    </row>
    <row r="4492">
      <c r="A4492">
        <f>HYPERLINK("https://www.youtube.com/watch?v=c10LhVego4o", "Video")</f>
        <v/>
      </c>
      <c r="B4492" t="inlineStr">
        <is>
          <t>0:26</t>
        </is>
      </c>
      <c r="C4492" t="inlineStr">
        <is>
          <t>and pop it out through the driver.</t>
        </is>
      </c>
      <c r="D4492">
        <f>HYPERLINK("https://www.youtube.com/watch?v=c10LhVego4o&amp;t=26s", "Go to time")</f>
        <v/>
      </c>
    </row>
    <row r="4493">
      <c r="A4493">
        <f>HYPERLINK("https://www.youtube.com/watch?v=vD2acJ4K4Zk", "Video")</f>
        <v/>
      </c>
      <c r="B4493" t="inlineStr">
        <is>
          <t>4:31</t>
        </is>
      </c>
      <c r="C4493" t="inlineStr">
        <is>
          <t>because it is such a major driver</t>
        </is>
      </c>
      <c r="D4493">
        <f>HYPERLINK("https://www.youtube.com/watch?v=vD2acJ4K4Zk&amp;t=271s", "Go to time")</f>
        <v/>
      </c>
    </row>
    <row r="4494">
      <c r="A4494">
        <f>HYPERLINK("https://www.youtube.com/watch?v=MKaSyV-jkGw", "Video")</f>
        <v/>
      </c>
      <c r="B4494" t="inlineStr">
        <is>
          <t>16:20</t>
        </is>
      </c>
      <c r="C4494" t="inlineStr">
        <is>
          <t>the productivity that will really Drive</t>
        </is>
      </c>
      <c r="D4494">
        <f>HYPERLINK("https://www.youtube.com/watch?v=MKaSyV-jkGw&amp;t=980s", "Go to time")</f>
        <v/>
      </c>
    </row>
    <row r="4495">
      <c r="A4495">
        <f>HYPERLINK("https://www.youtube.com/watch?v=MKaSyV-jkGw", "Video")</f>
        <v/>
      </c>
      <c r="B4495" t="inlineStr">
        <is>
          <t>28:08</t>
        </is>
      </c>
      <c r="C4495" t="inlineStr">
        <is>
          <t>for driver safety uh and in there</t>
        </is>
      </c>
      <c r="D4495">
        <f>HYPERLINK("https://www.youtube.com/watch?v=MKaSyV-jkGw&amp;t=1688s", "Go to time")</f>
        <v/>
      </c>
    </row>
    <row r="4496">
      <c r="A4496">
        <f>HYPERLINK("https://www.youtube.com/watch?v=MKaSyV-jkGw", "Video")</f>
        <v/>
      </c>
      <c r="B4496" t="inlineStr">
        <is>
          <t>28:16</t>
        </is>
      </c>
      <c r="C4496" t="inlineStr">
        <is>
          <t>to be able to increase driver and</t>
        </is>
      </c>
      <c r="D4496">
        <f>HYPERLINK("https://www.youtube.com/watch?v=MKaSyV-jkGw&amp;t=1696s", "Go to time")</f>
        <v/>
      </c>
    </row>
    <row r="4497">
      <c r="A4497">
        <f>HYPERLINK("https://www.youtube.com/watch?v=qzAn6B3yuKw", "Video")</f>
        <v/>
      </c>
      <c r="B4497" t="inlineStr">
        <is>
          <t>0:45</t>
        </is>
      </c>
      <c r="C4497" t="inlineStr">
        <is>
          <t>MVP. He's continued his drive this year.</t>
        </is>
      </c>
      <c r="D4497">
        <f>HYPERLINK("https://www.youtube.com/watch?v=qzAn6B3yuKw&amp;t=45s", "Go to time")</f>
        <v/>
      </c>
    </row>
    <row r="4498">
      <c r="A4498">
        <f>HYPERLINK("https://www.youtube.com/watch?v=OiKGoOpLoLs", "Video")</f>
        <v/>
      </c>
      <c r="B4498" t="inlineStr">
        <is>
          <t>4:09</t>
        </is>
      </c>
      <c r="C4498" t="inlineStr">
        <is>
          <t>- [Speaker] Primark that I
can drive to and don't have</t>
        </is>
      </c>
      <c r="D4498">
        <f>HYPERLINK("https://www.youtube.com/watch?v=OiKGoOpLoLs&amp;t=249s", "Go to time")</f>
        <v/>
      </c>
    </row>
    <row r="4499">
      <c r="A4499">
        <f>HYPERLINK("https://www.youtube.com/watch?v=6GiJ8iqycLg", "Video")</f>
        <v/>
      </c>
      <c r="B4499" t="inlineStr">
        <is>
          <t>3:57</t>
        </is>
      </c>
      <c r="C4499" t="inlineStr">
        <is>
          <t>party which is driven by divisions and</t>
        </is>
      </c>
      <c r="D4499">
        <f>HYPERLINK("https://www.youtube.com/watch?v=6GiJ8iqycLg&amp;t=237s", "Go to time")</f>
        <v/>
      </c>
    </row>
    <row r="4500">
      <c r="A4500">
        <f>HYPERLINK("https://www.youtube.com/watch?v=jErjxOmL_9c", "Video")</f>
        <v/>
      </c>
      <c r="B4500" t="inlineStr">
        <is>
          <t>0:24</t>
        </is>
      </c>
      <c r="C4500" t="inlineStr">
        <is>
          <t>country which does drive up cost him</t>
        </is>
      </c>
      <c r="D4500">
        <f>HYPERLINK("https://www.youtube.com/watch?v=jErjxOmL_9c&amp;t=24s", "Go to time")</f>
        <v/>
      </c>
    </row>
    <row r="4501">
      <c r="A4501">
        <f>HYPERLINK("https://www.youtube.com/watch?v=dqSF1mQQlxs", "Video")</f>
        <v/>
      </c>
      <c r="B4501" t="inlineStr">
        <is>
          <t>0:07</t>
        </is>
      </c>
      <c r="C4501" t="inlineStr">
        <is>
          <t>giant driven by strong sales of its</t>
        </is>
      </c>
      <c r="D4501">
        <f>HYPERLINK("https://www.youtube.com/watch?v=dqSF1mQQlxs&amp;t=7s", "Go to time")</f>
        <v/>
      </c>
    </row>
    <row r="4502">
      <c r="A4502">
        <f>HYPERLINK("https://www.youtube.com/watch?v=dqSF1mQQlxs", "Video")</f>
        <v/>
      </c>
      <c r="B4502" t="inlineStr">
        <is>
          <t>0:29</t>
        </is>
      </c>
      <c r="C4502" t="inlineStr">
        <is>
          <t>earning stru driver um it accounts for</t>
        </is>
      </c>
      <c r="D4502">
        <f>HYPERLINK("https://www.youtube.com/watch?v=dqSF1mQQlxs&amp;t=29s", "Go to time")</f>
        <v/>
      </c>
    </row>
    <row r="4503">
      <c r="A4503">
        <f>HYPERLINK("https://www.youtube.com/watch?v=dqSF1mQQlxs", "Video")</f>
        <v/>
      </c>
      <c r="B4503" t="inlineStr">
        <is>
          <t>2:38</t>
        </is>
      </c>
      <c r="C4503" t="inlineStr">
        <is>
          <t>for a moment China has been a big driver</t>
        </is>
      </c>
      <c r="D4503">
        <f>HYPERLINK("https://www.youtube.com/watch?v=dqSF1mQQlxs&amp;t=158s", "Go to time")</f>
        <v/>
      </c>
    </row>
    <row r="4504">
      <c r="A4504">
        <f>HYPERLINK("https://www.youtube.com/watch?v=kJ-KLQn6Fvw", "Video")</f>
        <v/>
      </c>
      <c r="B4504" t="inlineStr">
        <is>
          <t>1:18</t>
        </is>
      </c>
      <c r="C4504" t="inlineStr">
        <is>
          <t>us carrying around driver's license and</t>
        </is>
      </c>
      <c r="D4504">
        <f>HYPERLINK("https://www.youtube.com/watch?v=kJ-KLQn6Fvw&amp;t=78s", "Go to time")</f>
        <v/>
      </c>
    </row>
    <row r="4505">
      <c r="A4505">
        <f>HYPERLINK("https://www.youtube.com/watch?v=KcjutE6gfoU", "Video")</f>
        <v/>
      </c>
      <c r="B4505" t="inlineStr">
        <is>
          <t>1:45</t>
        </is>
      </c>
      <c r="C4505" t="inlineStr">
        <is>
          <t>time and charge in order to drive hard</t>
        </is>
      </c>
      <c r="D4505">
        <f>HYPERLINK("https://www.youtube.com/watch?v=KcjutE6gfoU&amp;t=105s", "Go to time")</f>
        <v/>
      </c>
    </row>
    <row r="4506">
      <c r="A4506">
        <f>HYPERLINK("https://www.youtube.com/watch?v=KcjutE6gfoU", "Video")</f>
        <v/>
      </c>
      <c r="B4506" t="inlineStr">
        <is>
          <t>2:03</t>
        </is>
      </c>
      <c r="C4506" t="inlineStr">
        <is>
          <t>drive and enable people who are</t>
        </is>
      </c>
      <c r="D4506">
        <f>HYPERLINK("https://www.youtube.com/watch?v=KcjutE6gfoU&amp;t=123s", "Go to time")</f>
        <v/>
      </c>
    </row>
    <row r="4507">
      <c r="A4507">
        <f>HYPERLINK("https://www.youtube.com/watch?v=XrgH07lwfVM", "Video")</f>
        <v/>
      </c>
      <c r="B4507" t="inlineStr">
        <is>
          <t>1:54</t>
        </is>
      </c>
      <c r="C4507" t="inlineStr">
        <is>
          <t>later dropped the project saying drivers</t>
        </is>
      </c>
      <c r="D4507">
        <f>HYPERLINK("https://www.youtube.com/watch?v=XrgH07lwfVM&amp;t=114s", "Go to time")</f>
        <v/>
      </c>
    </row>
    <row r="4508">
      <c r="A4508">
        <f>HYPERLINK("https://www.youtube.com/watch?v=XrgH07lwfVM", "Video")</f>
        <v/>
      </c>
      <c r="B4508" t="inlineStr">
        <is>
          <t>3:30</t>
        </is>
      </c>
      <c r="C4508" t="inlineStr">
        <is>
          <t>dollars a month neo drivers can get six</t>
        </is>
      </c>
      <c r="D4508">
        <f>HYPERLINK("https://www.youtube.com/watch?v=XrgH07lwfVM&amp;t=210s", "Go to time")</f>
        <v/>
      </c>
    </row>
    <row r="4509">
      <c r="A4509">
        <f>HYPERLINK("https://www.youtube.com/watch?v=XrgH07lwfVM", "Video")</f>
        <v/>
      </c>
      <c r="B4509" t="inlineStr">
        <is>
          <t>3:36</t>
        </is>
      </c>
      <c r="C4509" t="inlineStr">
        <is>
          <t>when you drive or these are gasoline</t>
        </is>
      </c>
      <c r="D4509">
        <f>HYPERLINK("https://www.youtube.com/watch?v=XrgH07lwfVM&amp;t=216s", "Go to time")</f>
        <v/>
      </c>
    </row>
    <row r="4510">
      <c r="A4510">
        <f>HYPERLINK("https://www.youtube.com/watch?v=XrgH07lwfVM", "Video")</f>
        <v/>
      </c>
      <c r="B4510" t="inlineStr">
        <is>
          <t>3:48</t>
        </is>
      </c>
      <c r="C4510" t="inlineStr">
        <is>
          <t>neo drivers also have other battery</t>
        </is>
      </c>
      <c r="D4510">
        <f>HYPERLINK("https://www.youtube.com/watch?v=XrgH07lwfVM&amp;t=228s", "Go to time")</f>
        <v/>
      </c>
    </row>
    <row r="4511">
      <c r="A4511">
        <f>HYPERLINK("https://www.youtube.com/watch?v=9Mtv9jrBNUs", "Video")</f>
        <v/>
      </c>
      <c r="B4511" t="inlineStr">
        <is>
          <t>0:26</t>
        </is>
      </c>
      <c r="C4511" t="inlineStr">
        <is>
          <t>basically a jumbo siiz thumb drive for</t>
        </is>
      </c>
      <c r="D4511">
        <f>HYPERLINK("https://www.youtube.com/watch?v=9Mtv9jrBNUs&amp;t=26s", "Go to time")</f>
        <v/>
      </c>
    </row>
    <row r="4512">
      <c r="A4512">
        <f>HYPERLINK("https://www.youtube.com/watch?v=9Mtv9jrBNUs", "Video")</f>
        <v/>
      </c>
      <c r="B4512" t="inlineStr">
        <is>
          <t>1:19</t>
        </is>
      </c>
      <c r="C4512" t="inlineStr">
        <is>
          <t>teen driver it'll even translate what</t>
        </is>
      </c>
      <c r="D4512">
        <f>HYPERLINK("https://www.youtube.com/watch?v=9Mtv9jrBNUs&amp;t=79s", "Go to time")</f>
        <v/>
      </c>
    </row>
    <row r="4513">
      <c r="A4513">
        <f>HYPERLINK("https://www.youtube.com/watch?v=ZwDOrPR_TbY", "Video")</f>
        <v/>
      </c>
      <c r="B4513" t="inlineStr">
        <is>
          <t>1:08</t>
        </is>
      </c>
      <c r="C4513" t="inlineStr">
        <is>
          <t>is that while these
stocks have helped drive</t>
        </is>
      </c>
      <c r="D4513">
        <f>HYPERLINK("https://www.youtube.com/watch?v=ZwDOrPR_TbY&amp;t=68s", "Go to time")</f>
        <v/>
      </c>
    </row>
    <row r="4514">
      <c r="A4514">
        <f>HYPERLINK("https://www.youtube.com/watch?v=ZwDOrPR_TbY", "Video")</f>
        <v/>
      </c>
      <c r="B4514" t="inlineStr">
        <is>
          <t>2:56</t>
        </is>
      </c>
      <c r="C4514" t="inlineStr">
        <is>
          <t>often driven by investor excitement.</t>
        </is>
      </c>
      <c r="D4514">
        <f>HYPERLINK("https://www.youtube.com/watch?v=ZwDOrPR_TbY&amp;t=176s", "Go to time")</f>
        <v/>
      </c>
    </row>
    <row r="4515">
      <c r="A4515">
        <f>HYPERLINK("https://www.youtube.com/watch?v=W5orLTsu4Xk", "Video")</f>
        <v/>
      </c>
      <c r="B4515" t="inlineStr">
        <is>
          <t>2:18</t>
        </is>
      </c>
      <c r="C4515" t="inlineStr">
        <is>
          <t>and driven by market forces.</t>
        </is>
      </c>
      <c r="D4515">
        <f>HYPERLINK("https://www.youtube.com/watch?v=W5orLTsu4Xk&amp;t=138s", "Go to time")</f>
        <v/>
      </c>
    </row>
    <row r="4516">
      <c r="A4516">
        <f>HYPERLINK("https://www.youtube.com/watch?v=XReZFuACQLc", "Video")</f>
        <v/>
      </c>
      <c r="B4516" t="inlineStr">
        <is>
          <t>0:05</t>
        </is>
      </c>
      <c r="C4516" t="inlineStr">
        <is>
          <t>idea of a driverless car being a</t>
        </is>
      </c>
      <c r="D4516">
        <f>HYPERLINK("https://www.youtube.com/watch?v=XReZFuACQLc&amp;t=5s", "Go to time")</f>
        <v/>
      </c>
    </row>
    <row r="4517">
      <c r="A4517">
        <f>HYPERLINK("https://www.youtube.com/watch?v=XReZFuACQLc", "Video")</f>
        <v/>
      </c>
      <c r="B4517" t="inlineStr">
        <is>
          <t>1:15</t>
        </is>
      </c>
      <c r="C4517" t="inlineStr">
        <is>
          <t>business side of the driverless car</t>
        </is>
      </c>
      <c r="D4517">
        <f>HYPERLINK("https://www.youtube.com/watch?v=XReZFuACQLc&amp;t=75s", "Go to time")</f>
        <v/>
      </c>
    </row>
    <row r="4518">
      <c r="A4518">
        <f>HYPERLINK("https://www.youtube.com/watch?v=XReZFuACQLc", "Video")</f>
        <v/>
      </c>
      <c r="B4518" t="inlineStr">
        <is>
          <t>1:34</t>
        </is>
      </c>
      <c r="C4518" t="inlineStr">
        <is>
          <t>me and you buy the car and drive off</t>
        </is>
      </c>
      <c r="D4518">
        <f>HYPERLINK("https://www.youtube.com/watch?v=XReZFuACQLc&amp;t=94s", "Go to time")</f>
        <v/>
      </c>
    </row>
    <row r="4519">
      <c r="A4519">
        <f>HYPERLINK("https://www.youtube.com/watch?v=XReZFuACQLc", "Video")</f>
        <v/>
      </c>
      <c r="B4519" t="inlineStr">
        <is>
          <t>2:06</t>
        </is>
      </c>
      <c r="C4519" t="inlineStr">
        <is>
          <t>public test drives on public roads but</t>
        </is>
      </c>
      <c r="D4519">
        <f>HYPERLINK("https://www.youtube.com/watch?v=XReZFuACQLc&amp;t=126s", "Go to time")</f>
        <v/>
      </c>
    </row>
    <row r="4520">
      <c r="A4520">
        <f>HYPERLINK("https://www.youtube.com/watch?v=usga_TymN7s", "Video")</f>
        <v/>
      </c>
      <c r="B4520" t="inlineStr">
        <is>
          <t>3:12</t>
        </is>
      </c>
      <c r="C4520" t="inlineStr">
        <is>
          <t>truck drivers need to test negative.</t>
        </is>
      </c>
      <c r="D4520">
        <f>HYPERLINK("https://www.youtube.com/watch?v=usga_TymN7s&amp;t=192s", "Go to time")</f>
        <v/>
      </c>
    </row>
    <row r="4521">
      <c r="A4521">
        <f>HYPERLINK("https://www.youtube.com/watch?v=RATHbP1bAhI", "Video")</f>
        <v/>
      </c>
      <c r="B4521" t="inlineStr">
        <is>
          <t>1:34</t>
        </is>
      </c>
      <c r="C4521" t="inlineStr">
        <is>
          <t>- The Japanese model was
a lot more data driven.</t>
        </is>
      </c>
      <c r="D4521">
        <f>HYPERLINK("https://www.youtube.com/watch?v=RATHbP1bAhI&amp;t=94s", "Go to time")</f>
        <v/>
      </c>
    </row>
    <row r="4522">
      <c r="A4522">
        <f>HYPERLINK("https://www.youtube.com/watch?v=CiSlWQYIXJ8", "Video")</f>
        <v/>
      </c>
      <c r="B4522" t="inlineStr">
        <is>
          <t>0:04</t>
        </is>
      </c>
      <c r="C4522" t="inlineStr">
        <is>
          <t>a shortage of drivers caused by well a</t>
        </is>
      </c>
      <c r="D4522">
        <f>HYPERLINK("https://www.youtube.com/watch?v=CiSlWQYIXJ8&amp;t=4s", "Go to time")</f>
        <v/>
      </c>
    </row>
    <row r="4523">
      <c r="A4523">
        <f>HYPERLINK("https://www.youtube.com/watch?v=CiSlWQYIXJ8", "Video")</f>
        <v/>
      </c>
      <c r="B4523" t="inlineStr">
        <is>
          <t>0:15</t>
        </is>
      </c>
      <c r="C4523" t="inlineStr">
        <is>
          <t>additional 80 000 drivers but at the</t>
        </is>
      </c>
      <c r="D4523">
        <f>HYPERLINK("https://www.youtube.com/watch?v=CiSlWQYIXJ8&amp;t=15s", "Go to time")</f>
        <v/>
      </c>
    </row>
    <row r="4524">
      <c r="A4524">
        <f>HYPERLINK("https://www.youtube.com/watch?v=CiSlWQYIXJ8", "Video")</f>
        <v/>
      </c>
      <c r="B4524" t="inlineStr">
        <is>
          <t>0:22</t>
        </is>
      </c>
      <c r="C4524" t="inlineStr">
        <is>
          <t>their driver less technology is right</t>
        </is>
      </c>
      <c r="D4524">
        <f>HYPERLINK("https://www.youtube.com/watch?v=CiSlWQYIXJ8&amp;t=22s", "Go to time")</f>
        <v/>
      </c>
    </row>
    <row r="4525">
      <c r="A4525">
        <f>HYPERLINK("https://www.youtube.com/watch?v=CiSlWQYIXJ8", "Video")</f>
        <v/>
      </c>
      <c r="B4525" t="inlineStr">
        <is>
          <t>0:38</t>
        </is>
      </c>
      <c r="C4525" t="inlineStr">
        <is>
          <t>driverless trucks arrive in time to</t>
        </is>
      </c>
      <c r="D4525">
        <f>HYPERLINK("https://www.youtube.com/watch?v=CiSlWQYIXJ8&amp;t=38s", "Go to time")</f>
        <v/>
      </c>
    </row>
    <row r="4526">
      <c r="A4526">
        <f>HYPERLINK("https://www.youtube.com/watch?v=CiSlWQYIXJ8", "Video")</f>
        <v/>
      </c>
      <c r="B4526" t="inlineStr">
        <is>
          <t>0:39</t>
        </is>
      </c>
      <c r="C4526" t="inlineStr">
        <is>
          <t>solve the truck driver shortage and</t>
        </is>
      </c>
      <c r="D4526">
        <f>HYPERLINK("https://www.youtube.com/watch?v=CiSlWQYIXJ8&amp;t=39s", "Go to time")</f>
        <v/>
      </c>
    </row>
    <row r="4527">
      <c r="A4527">
        <f>HYPERLINK("https://www.youtube.com/watch?v=CiSlWQYIXJ8", "Video")</f>
        <v/>
      </c>
      <c r="B4527" t="inlineStr">
        <is>
          <t>0:43</t>
        </is>
      </c>
      <c r="C4527" t="inlineStr">
        <is>
          <t>drivers all together</t>
        </is>
      </c>
      <c r="D4527">
        <f>HYPERLINK("https://www.youtube.com/watch?v=CiSlWQYIXJ8&amp;t=43s", "Go to time")</f>
        <v/>
      </c>
    </row>
    <row r="4528">
      <c r="A4528">
        <f>HYPERLINK("https://www.youtube.com/watch?v=CiSlWQYIXJ8", "Video")</f>
        <v/>
      </c>
      <c r="B4528" t="inlineStr">
        <is>
          <t>1:02</t>
        </is>
      </c>
      <c r="C4528" t="inlineStr">
        <is>
          <t>driverless taxi in the street and that's</t>
        </is>
      </c>
      <c r="D4528">
        <f>HYPERLINK("https://www.youtube.com/watch?v=CiSlWQYIXJ8&amp;t=62s", "Go to time")</f>
        <v/>
      </c>
    </row>
    <row r="4529">
      <c r="A4529">
        <f>HYPERLINK("https://www.youtube.com/watch?v=CiSlWQYIXJ8", "Video")</f>
        <v/>
      </c>
      <c r="B4529" t="inlineStr">
        <is>
          <t>1:43</t>
        </is>
      </c>
      <c r="C4529" t="inlineStr">
        <is>
          <t>driverless trucks also don't have to</t>
        </is>
      </c>
      <c r="D4529">
        <f>HYPERLINK("https://www.youtube.com/watch?v=CiSlWQYIXJ8&amp;t=103s", "Go to time")</f>
        <v/>
      </c>
    </row>
    <row r="4530">
      <c r="A4530">
        <f>HYPERLINK("https://www.youtube.com/watch?v=CiSlWQYIXJ8", "Video")</f>
        <v/>
      </c>
      <c r="B4530" t="inlineStr">
        <is>
          <t>2:02</t>
        </is>
      </c>
      <c r="C4530" t="inlineStr">
        <is>
          <t>loaded with freight with no driver</t>
        </is>
      </c>
      <c r="D4530">
        <f>HYPERLINK("https://www.youtube.com/watch?v=CiSlWQYIXJ8&amp;t=122s", "Go to time")</f>
        <v/>
      </c>
    </row>
    <row r="4531">
      <c r="A4531">
        <f>HYPERLINK("https://www.youtube.com/watch?v=CiSlWQYIXJ8", "Video")</f>
        <v/>
      </c>
      <c r="B4531" t="inlineStr">
        <is>
          <t>2:25</t>
        </is>
      </c>
      <c r="C4531" t="inlineStr">
        <is>
          <t>drivers along highways even if these</t>
        </is>
      </c>
      <c r="D4531">
        <f>HYPERLINK("https://www.youtube.com/watch?v=CiSlWQYIXJ8&amp;t=145s", "Go to time")</f>
        <v/>
      </c>
    </row>
    <row r="4532">
      <c r="A4532">
        <f>HYPERLINK("https://www.youtube.com/watch?v=CiSlWQYIXJ8", "Video")</f>
        <v/>
      </c>
      <c r="B4532" t="inlineStr">
        <is>
          <t>3:18</t>
        </is>
      </c>
      <c r="C4532" t="inlineStr">
        <is>
          <t>truck driver shortage but what about</t>
        </is>
      </c>
      <c r="D4532">
        <f>HYPERLINK("https://www.youtube.com/watch?v=CiSlWQYIXJ8&amp;t=198s", "Go to time")</f>
        <v/>
      </c>
    </row>
    <row r="4533">
      <c r="A4533">
        <f>HYPERLINK("https://www.youtube.com/watch?v=CiSlWQYIXJ8", "Video")</f>
        <v/>
      </c>
      <c r="B4533" t="inlineStr">
        <is>
          <t>3:25</t>
        </is>
      </c>
      <c r="C4533" t="inlineStr">
        <is>
          <t>drivers</t>
        </is>
      </c>
      <c r="D4533">
        <f>HYPERLINK("https://www.youtube.com/watch?v=CiSlWQYIXJ8&amp;t=205s", "Go to time")</f>
        <v/>
      </c>
    </row>
    <row r="4534">
      <c r="A4534">
        <f>HYPERLINK("https://www.youtube.com/watch?v=CiSlWQYIXJ8", "Video")</f>
        <v/>
      </c>
      <c r="B4534" t="inlineStr">
        <is>
          <t>3:32</t>
        </is>
      </c>
      <c r="C4534" t="inlineStr">
        <is>
          <t>most grueling conditions for drivers</t>
        </is>
      </c>
      <c r="D4534">
        <f>HYPERLINK("https://www.youtube.com/watch?v=CiSlWQYIXJ8&amp;t=212s", "Go to time")</f>
        <v/>
      </c>
    </row>
    <row r="4535">
      <c r="A4535">
        <f>HYPERLINK("https://www.youtube.com/watch?v=CiSlWQYIXJ8", "Video")</f>
        <v/>
      </c>
      <c r="B4535" t="inlineStr">
        <is>
          <t>3:42</t>
        </is>
      </c>
      <c r="C4535" t="inlineStr">
        <is>
          <t>redefine what a driver's normal</t>
        </is>
      </c>
      <c r="D4535">
        <f>HYPERLINK("https://www.youtube.com/watch?v=CiSlWQYIXJ8&amp;t=222s", "Go to time")</f>
        <v/>
      </c>
    </row>
    <row r="4536">
      <c r="A4536">
        <f>HYPERLINK("https://www.youtube.com/watch?v=CiSlWQYIXJ8", "Video")</f>
        <v/>
      </c>
      <c r="B4536" t="inlineStr">
        <is>
          <t>3:44</t>
        </is>
      </c>
      <c r="C4536" t="inlineStr">
        <is>
          <t>day-to-day looks like maybe this driver</t>
        </is>
      </c>
      <c r="D4536">
        <f>HYPERLINK("https://www.youtube.com/watch?v=CiSlWQYIXJ8&amp;t=224s", "Go to time")</f>
        <v/>
      </c>
    </row>
    <row r="4537">
      <c r="A4537">
        <f>HYPERLINK("https://www.youtube.com/watch?v=CiSlWQYIXJ8", "Video")</f>
        <v/>
      </c>
      <c r="B4537" t="inlineStr">
        <is>
          <t>3:55</t>
        </is>
      </c>
      <c r="C4537" t="inlineStr">
        <is>
          <t>the future are those drivers still going</t>
        </is>
      </c>
      <c r="D4537">
        <f>HYPERLINK("https://www.youtube.com/watch?v=CiSlWQYIXJ8&amp;t=235s", "Go to time")</f>
        <v/>
      </c>
    </row>
    <row r="4538">
      <c r="A4538">
        <f>HYPERLINK("https://www.youtube.com/watch?v=CiSlWQYIXJ8", "Video")</f>
        <v/>
      </c>
      <c r="B4538" t="inlineStr">
        <is>
          <t>4:12</t>
        </is>
      </c>
      <c r="C4538" t="inlineStr">
        <is>
          <t>truck drivers and goods on our shelves</t>
        </is>
      </c>
      <c r="D4538">
        <f>HYPERLINK("https://www.youtube.com/watch?v=CiSlWQYIXJ8&amp;t=252s", "Go to time")</f>
        <v/>
      </c>
    </row>
    <row r="4539">
      <c r="A4539">
        <f>HYPERLINK("https://www.youtube.com/watch?v=CiSlWQYIXJ8", "Video")</f>
        <v/>
      </c>
      <c r="B4539" t="inlineStr">
        <is>
          <t>4:24</t>
        </is>
      </c>
      <c r="C4539" t="inlineStr">
        <is>
          <t>happening with truck drivers right now</t>
        </is>
      </c>
      <c r="D4539">
        <f>HYPERLINK("https://www.youtube.com/watch?v=CiSlWQYIXJ8&amp;t=264s", "Go to time")</f>
        <v/>
      </c>
    </row>
    <row r="4540">
      <c r="A4540">
        <f>HYPERLINK("https://www.youtube.com/watch?v=QzGjaoy7Idg", "Video")</f>
        <v/>
      </c>
      <c r="B4540" t="inlineStr">
        <is>
          <t>2:07</t>
        </is>
      </c>
      <c r="C4540" t="inlineStr">
        <is>
          <t>clerks to truck drivers</t>
        </is>
      </c>
      <c r="D4540">
        <f>HYPERLINK("https://www.youtube.com/watch?v=QzGjaoy7Idg&amp;t=127s", "Go to time")</f>
        <v/>
      </c>
    </row>
    <row r="4541">
      <c r="A4541">
        <f>HYPERLINK("https://www.youtube.com/watch?v=fApDSDHlZTQ", "Video")</f>
        <v/>
      </c>
      <c r="B4541" t="inlineStr">
        <is>
          <t>0:50</t>
        </is>
      </c>
      <c r="C4541" t="inlineStr">
        <is>
          <t>injured when a truck was driven through</t>
        </is>
      </c>
      <c r="D4541">
        <f>HYPERLINK("https://www.youtube.com/watch?v=fApDSDHlZTQ&amp;t=50s", "Go to time")</f>
        <v/>
      </c>
    </row>
    <row r="4542">
      <c r="A4542">
        <f>HYPERLINK("https://www.youtube.com/watch?v=RENAj-SUI44", "Video")</f>
        <v/>
      </c>
      <c r="B4542" t="inlineStr">
        <is>
          <t>4:02</t>
        </is>
      </c>
      <c r="C4542" t="inlineStr">
        <is>
          <t>driveway for a doorknob okay so you've</t>
        </is>
      </c>
      <c r="D4542">
        <f>HYPERLINK("https://www.youtube.com/watch?v=RENAj-SUI44&amp;t=242s", "Go to time")</f>
        <v/>
      </c>
    </row>
    <row r="4543">
      <c r="A4543">
        <f>HYPERLINK("https://www.youtube.com/watch?v=As2SY9EGlhk", "Video")</f>
        <v/>
      </c>
      <c r="B4543" t="inlineStr">
        <is>
          <t>0:44</t>
        </is>
      </c>
      <c r="C4543" t="inlineStr">
        <is>
          <t>enables the car to recognize the driver</t>
        </is>
      </c>
      <c r="D4543">
        <f>HYPERLINK("https://www.youtube.com/watch?v=As2SY9EGlhk&amp;t=44s", "Go to time")</f>
        <v/>
      </c>
    </row>
    <row r="4544">
      <c r="A4544">
        <f>HYPERLINK("https://www.youtube.com/watch?v=9sgetWQGYxY", "Video")</f>
        <v/>
      </c>
      <c r="B4544" t="inlineStr">
        <is>
          <t>0:02</t>
        </is>
      </c>
      <c r="C4544" t="inlineStr">
        <is>
          <t>driver's seat but it isn't driving</t>
        </is>
      </c>
      <c r="D4544">
        <f>HYPERLINK("https://www.youtube.com/watch?v=9sgetWQGYxY&amp;t=2s", "Go to time")</f>
        <v/>
      </c>
    </row>
    <row r="4545">
      <c r="A4545">
        <f>HYPERLINK("https://www.youtube.com/watch?v=9sgetWQGYxY", "Video")</f>
        <v/>
      </c>
      <c r="B4545" t="inlineStr">
        <is>
          <t>0:13</t>
        </is>
      </c>
      <c r="C4545" t="inlineStr">
        <is>
          <t>remote drivers at the wheel making the</t>
        </is>
      </c>
      <c r="D4545">
        <f>HYPERLINK("https://www.youtube.com/watch?v=9sgetWQGYxY&amp;t=13s", "Go to time")</f>
        <v/>
      </c>
    </row>
    <row r="4546">
      <c r="A4546">
        <f>HYPERLINK("https://www.youtube.com/watch?v=9sgetWQGYxY", "Video")</f>
        <v/>
      </c>
      <c r="B4546" t="inlineStr">
        <is>
          <t>0:39</t>
        </is>
      </c>
      <c r="C4546" t="inlineStr">
        <is>
          <t>for us at a drive-through as an example</t>
        </is>
      </c>
      <c r="D4546">
        <f>HYPERLINK("https://www.youtube.com/watch?v=9sgetWQGYxY&amp;t=39s", "Go to time")</f>
        <v/>
      </c>
    </row>
    <row r="4547">
      <c r="A4547">
        <f>HYPERLINK("https://www.youtube.com/watch?v=9sgetWQGYxY", "Video")</f>
        <v/>
      </c>
      <c r="B4547" t="inlineStr">
        <is>
          <t>1:07</t>
        </is>
      </c>
      <c r="C4547" t="inlineStr">
        <is>
          <t>and drive it through those edge case</t>
        </is>
      </c>
      <c r="D4547">
        <f>HYPERLINK("https://www.youtube.com/watch?v=9sgetWQGYxY&amp;t=67s", "Go to time")</f>
        <v/>
      </c>
    </row>
    <row r="4548">
      <c r="A4548">
        <f>HYPERLINK("https://www.youtube.com/watch?v=9sgetWQGYxY", "Video")</f>
        <v/>
      </c>
      <c r="B4548" t="inlineStr">
        <is>
          <t>1:45</t>
        </is>
      </c>
      <c r="C4548" t="inlineStr">
        <is>
          <t>drive the vehicle remotely very easily</t>
        </is>
      </c>
      <c r="D4548">
        <f>HYPERLINK("https://www.youtube.com/watch?v=9sgetWQGYxY&amp;t=105s", "Go to time")</f>
        <v/>
      </c>
    </row>
    <row r="4549">
      <c r="A4549">
        <f>HYPERLINK("https://www.youtube.com/watch?v=9sgetWQGYxY", "Video")</f>
        <v/>
      </c>
      <c r="B4549" t="inlineStr">
        <is>
          <t>2:38</t>
        </is>
      </c>
      <c r="C4549" t="inlineStr">
        <is>
          <t>remote driver while they've used a</t>
        </is>
      </c>
      <c r="D4549">
        <f>HYPERLINK("https://www.youtube.com/watch?v=9sgetWQGYxY&amp;t=158s", "Go to time")</f>
        <v/>
      </c>
    </row>
    <row r="4550">
      <c r="A4550">
        <f>HYPERLINK("https://www.youtube.com/watch?v=gbNOR44QfMk", "Video")</f>
        <v/>
      </c>
      <c r="B4550" t="inlineStr">
        <is>
          <t>0:08</t>
        </is>
      </c>
      <c r="C4550" t="inlineStr">
        <is>
          <t>believe we had to drive these cars</t>
        </is>
      </c>
      <c r="D4550">
        <f>HYPERLINK("https://www.youtube.com/watch?v=gbNOR44QfMk&amp;t=8s", "Go to time")</f>
        <v/>
      </c>
    </row>
    <row r="4551">
      <c r="A4551">
        <f>HYPERLINK("https://www.youtube.com/watch?v=gbNOR44QfMk", "Video")</f>
        <v/>
      </c>
      <c r="B4551" t="inlineStr">
        <is>
          <t>0:47</t>
        </is>
      </c>
      <c r="C4551" t="inlineStr">
        <is>
          <t>that powers its advanced driver</t>
        </is>
      </c>
      <c r="D4551">
        <f>HYPERLINK("https://www.youtube.com/watch?v=gbNOR44QfMk&amp;t=47s", "Go to time")</f>
        <v/>
      </c>
    </row>
    <row r="4552">
      <c r="A4552">
        <f>HYPERLINK("https://www.youtube.com/watch?v=gbNOR44QfMk", "Video")</f>
        <v/>
      </c>
      <c r="B4552" t="inlineStr">
        <is>
          <t>1:09</t>
        </is>
      </c>
      <c r="C4552" t="inlineStr">
        <is>
          <t>current less advanced driver assistance</t>
        </is>
      </c>
      <c r="D4552">
        <f>HYPERLINK("https://www.youtube.com/watch?v=gbNOR44QfMk&amp;t=69s", "Go to time")</f>
        <v/>
      </c>
    </row>
    <row r="4553">
      <c r="A4553">
        <f>HYPERLINK("https://www.youtube.com/watch?v=gbNOR44QfMk", "Video")</f>
        <v/>
      </c>
      <c r="B4553" t="inlineStr">
        <is>
          <t>2:09</t>
        </is>
      </c>
      <c r="C4553" t="inlineStr">
        <is>
          <t>crutch that will drive companies to a</t>
        </is>
      </c>
      <c r="D4553">
        <f>HYPERLINK("https://www.youtube.com/watch?v=gbNOR44QfMk&amp;t=129s", "Go to time")</f>
        <v/>
      </c>
    </row>
    <row r="4554">
      <c r="A4554">
        <f>HYPERLINK("https://www.youtube.com/watch?v=gbNOR44QfMk", "Video")</f>
        <v/>
      </c>
      <c r="B4554" t="inlineStr">
        <is>
          <t>2:20</t>
        </is>
      </c>
      <c r="C4554" t="inlineStr">
        <is>
          <t>instead will drive itself mainly using</t>
        </is>
      </c>
      <c r="D4554">
        <f>HYPERLINK("https://www.youtube.com/watch?v=gbNOR44QfMk&amp;t=140s", "Go to time")</f>
        <v/>
      </c>
    </row>
    <row r="4555">
      <c r="A4555">
        <f>HYPERLINK("https://www.youtube.com/watch?v=gbNOR44QfMk", "Video")</f>
        <v/>
      </c>
      <c r="B4555" t="inlineStr">
        <is>
          <t>4:15</t>
        </is>
      </c>
      <c r="C4555" t="inlineStr">
        <is>
          <t>curious about the future of driverless</t>
        </is>
      </c>
      <c r="D4555">
        <f>HYPERLINK("https://www.youtube.com/watch?v=gbNOR44QfMk&amp;t=255s", "Go to time")</f>
        <v/>
      </c>
    </row>
    <row r="4556">
      <c r="A4556">
        <f>HYPERLINK("https://www.youtube.com/watch?v=gbNOR44QfMk", "Video")</f>
        <v/>
      </c>
      <c r="B4556" t="inlineStr">
        <is>
          <t>5:43</t>
        </is>
      </c>
      <c r="C4556" t="inlineStr">
        <is>
          <t>driver assistance systems which not been</t>
        </is>
      </c>
      <c r="D4556">
        <f>HYPERLINK("https://www.youtube.com/watch?v=gbNOR44QfMk&amp;t=343s", "Go to time")</f>
        <v/>
      </c>
    </row>
    <row r="4557">
      <c r="A4557">
        <f>HYPERLINK("https://www.youtube.com/watch?v=gbNOR44QfMk", "Video")</f>
        <v/>
      </c>
      <c r="B4557" t="inlineStr">
        <is>
          <t>6:10</t>
        </is>
      </c>
      <c r="C4557" t="inlineStr">
        <is>
          <t>its driverless technology is safe</t>
        </is>
      </c>
      <c r="D4557">
        <f>HYPERLINK("https://www.youtube.com/watch?v=gbNOR44QfMk&amp;t=370s", "Go to time")</f>
        <v/>
      </c>
    </row>
    <row r="4558">
      <c r="A4558">
        <f>HYPERLINK("https://www.youtube.com/watch?v=nroEt7G5XZY", "Video")</f>
        <v/>
      </c>
      <c r="B4558" t="inlineStr">
        <is>
          <t>13:27</t>
        </is>
      </c>
      <c r="C4558" t="inlineStr">
        <is>
          <t>that sergeant driver</t>
        </is>
      </c>
      <c r="D4558">
        <f>HYPERLINK("https://www.youtube.com/watch?v=nroEt7G5XZY&amp;t=807s", "Go to time")</f>
        <v/>
      </c>
    </row>
    <row r="4559">
      <c r="A4559">
        <f>HYPERLINK("https://www.youtube.com/watch?v=z5eaOo-2eJM", "Video")</f>
        <v/>
      </c>
      <c r="B4559" t="inlineStr">
        <is>
          <t>0:09</t>
        </is>
      </c>
      <c r="C4559" t="inlineStr">
        <is>
          <t>where Waymo has been offering
fully driverless rides</t>
        </is>
      </c>
      <c r="D4559">
        <f>HYPERLINK("https://www.youtube.com/watch?v=z5eaOo-2eJM&amp;t=9s", "Go to time")</f>
        <v/>
      </c>
    </row>
    <row r="4560">
      <c r="A4560">
        <f>HYPERLINK("https://www.youtube.com/watch?v=z5eaOo-2eJM", "Video")</f>
        <v/>
      </c>
      <c r="B4560" t="inlineStr">
        <is>
          <t>0:20</t>
        </is>
      </c>
      <c r="C4560" t="inlineStr">
        <is>
          <t>but rides here still have
a driver behind the wheel.</t>
        </is>
      </c>
      <c r="D4560">
        <f>HYPERLINK("https://www.youtube.com/watch?v=z5eaOo-2eJM&amp;t=20s", "Go to time")</f>
        <v/>
      </c>
    </row>
    <row r="4561">
      <c r="A4561">
        <f>HYPERLINK("https://www.youtube.com/watch?v=z5eaOo-2eJM", "Video")</f>
        <v/>
      </c>
      <c r="B4561" t="inlineStr">
        <is>
          <t>0:23</t>
        </is>
      </c>
      <c r="C4561" t="inlineStr">
        <is>
          <t>The supporting driver does
have hands on the wheel,</t>
        </is>
      </c>
      <c r="D4561">
        <f>HYPERLINK("https://www.youtube.com/watch?v=z5eaOo-2eJM&amp;t=23s", "Go to time")</f>
        <v/>
      </c>
    </row>
    <row r="4562">
      <c r="A4562">
        <f>HYPERLINK("https://www.youtube.com/watch?v=z5eaOo-2eJM", "Video")</f>
        <v/>
      </c>
      <c r="B4562" t="inlineStr">
        <is>
          <t>0:39</t>
        </is>
      </c>
      <c r="C4562" t="inlineStr">
        <is>
          <t>General Motors Cruise is
also testing driverless cabs</t>
        </is>
      </c>
      <c r="D4562">
        <f>HYPERLINK("https://www.youtube.com/watch?v=z5eaOo-2eJM&amp;t=39s", "Go to time")</f>
        <v/>
      </c>
    </row>
    <row r="4563">
      <c r="A4563">
        <f>HYPERLINK("https://www.youtube.com/watch?v=z5eaOo-2eJM", "Video")</f>
        <v/>
      </c>
      <c r="B4563" t="inlineStr">
        <is>
          <t>0:50</t>
        </is>
      </c>
      <c r="C4563" t="inlineStr">
        <is>
          <t>have slowed driverless car companies down.</t>
        </is>
      </c>
      <c r="D4563">
        <f>HYPERLINK("https://www.youtube.com/watch?v=z5eaOo-2eJM&amp;t=50s", "Go to time")</f>
        <v/>
      </c>
    </row>
    <row r="4564">
      <c r="A4564">
        <f>HYPERLINK("https://www.youtube.com/watch?v=z5eaOo-2eJM", "Video")</f>
        <v/>
      </c>
      <c r="B4564" t="inlineStr">
        <is>
          <t>1:53</t>
        </is>
      </c>
      <c r="C4564" t="inlineStr">
        <is>
          <t>are currently done with
a driver at the wheel.</t>
        </is>
      </c>
      <c r="D4564">
        <f>HYPERLINK("https://www.youtube.com/watch?v=z5eaOo-2eJM&amp;t=113s", "Go to time")</f>
        <v/>
      </c>
    </row>
    <row r="4565">
      <c r="A4565">
        <f>HYPERLINK("https://www.youtube.com/watch?v=z5eaOo-2eJM", "Video")</f>
        <v/>
      </c>
      <c r="B4565" t="inlineStr">
        <is>
          <t>2:49</t>
        </is>
      </c>
      <c r="C4565" t="inlineStr">
        <is>
          <t>I think seeing the
supporting driver's hands</t>
        </is>
      </c>
      <c r="D4565">
        <f>HYPERLINK("https://www.youtube.com/watch?v=z5eaOo-2eJM&amp;t=169s", "Go to time")</f>
        <v/>
      </c>
    </row>
    <row r="4566">
      <c r="A4566">
        <f>HYPERLINK("https://www.youtube.com/watch?v=z5eaOo-2eJM", "Video")</f>
        <v/>
      </c>
      <c r="B4566" t="inlineStr">
        <is>
          <t>3:06</t>
        </is>
      </c>
      <c r="C4566" t="inlineStr">
        <is>
          <t>The company said the
vehicle was being driven</t>
        </is>
      </c>
      <c r="D4566">
        <f>HYPERLINK("https://www.youtube.com/watch?v=z5eaOo-2eJM&amp;t=186s", "Go to time")</f>
        <v/>
      </c>
    </row>
    <row r="4567">
      <c r="A4567">
        <f>HYPERLINK("https://www.youtube.com/watch?v=z5eaOo-2eJM", "Video")</f>
        <v/>
      </c>
      <c r="B4567" t="inlineStr">
        <is>
          <t>3:08</t>
        </is>
      </c>
      <c r="C4567" t="inlineStr">
        <is>
          <t>by a human driver in manual mode</t>
        </is>
      </c>
      <c r="D4567">
        <f>HYPERLINK("https://www.youtube.com/watch?v=z5eaOo-2eJM&amp;t=188s", "Go to time")</f>
        <v/>
      </c>
    </row>
    <row r="4568">
      <c r="A4568">
        <f>HYPERLINK("https://www.youtube.com/watch?v=z5eaOo-2eJM", "Video")</f>
        <v/>
      </c>
      <c r="B4568" t="inlineStr">
        <is>
          <t>3:19</t>
        </is>
      </c>
      <c r="C4568" t="inlineStr">
        <is>
          <t>in which we drive are paramount to us,</t>
        </is>
      </c>
      <c r="D4568">
        <f>HYPERLINK("https://www.youtube.com/watch?v=z5eaOo-2eJM&amp;t=199s", "Go to time")</f>
        <v/>
      </c>
    </row>
    <row r="4569">
      <c r="A4569">
        <f>HYPERLINK("https://www.youtube.com/watch?v=z5eaOo-2eJM", "Video")</f>
        <v/>
      </c>
      <c r="B4569" t="inlineStr">
        <is>
          <t>3:29</t>
        </is>
      </c>
      <c r="C4569" t="inlineStr">
        <is>
          <t>to test autonomous
vehicles without a driver.</t>
        </is>
      </c>
      <c r="D4569">
        <f>HYPERLINK("https://www.youtube.com/watch?v=z5eaOo-2eJM&amp;t=209s", "Go to time")</f>
        <v/>
      </c>
    </row>
    <row r="4570">
      <c r="A4570">
        <f>HYPERLINK("https://www.youtube.com/watch?v=z5eaOo-2eJM", "Video")</f>
        <v/>
      </c>
      <c r="B4570" t="inlineStr">
        <is>
          <t>4:26</t>
        </is>
      </c>
      <c r="C4570" t="inlineStr">
        <is>
          <t>in terms of what routes they drive.</t>
        </is>
      </c>
      <c r="D4570">
        <f>HYPERLINK("https://www.youtube.com/watch?v=z5eaOo-2eJM&amp;t=266s", "Go to time")</f>
        <v/>
      </c>
    </row>
    <row r="4571">
      <c r="A4571">
        <f>HYPERLINK("https://www.youtube.com/watch?v=z5eaOo-2eJM", "Video")</f>
        <v/>
      </c>
      <c r="B4571" t="inlineStr">
        <is>
          <t>4:36</t>
        </is>
      </c>
      <c r="C4571" t="inlineStr">
        <is>
          <t>Here, Waymo has pulled the driver support</t>
        </is>
      </c>
      <c r="D4571">
        <f>HYPERLINK("https://www.youtube.com/watch?v=z5eaOo-2eJM&amp;t=276s", "Go to time")</f>
        <v/>
      </c>
    </row>
    <row r="4572">
      <c r="A4572">
        <f>HYPERLINK("https://www.youtube.com/watch?v=z5eaOo-2eJM", "Video")</f>
        <v/>
      </c>
      <c r="B4572" t="inlineStr">
        <is>
          <t>4:46</t>
        </is>
      </c>
      <c r="C4572" t="inlineStr">
        <is>
          <t>When did you know it was
time to pull the driver</t>
        </is>
      </c>
      <c r="D4572">
        <f>HYPERLINK("https://www.youtube.com/watch?v=z5eaOo-2eJM&amp;t=286s", "Go to time")</f>
        <v/>
      </c>
    </row>
    <row r="4573">
      <c r="A4573">
        <f>HYPERLINK("https://www.youtube.com/watch?v=z5eaOo-2eJM", "Video")</f>
        <v/>
      </c>
      <c r="B4573" t="inlineStr">
        <is>
          <t>4:50</t>
        </is>
      </c>
      <c r="C4573" t="inlineStr">
        <is>
          <t>- We evaluate the
performance of the driver,</t>
        </is>
      </c>
      <c r="D4573">
        <f>HYPERLINK("https://www.youtube.com/watch?v=z5eaOo-2eJM&amp;t=290s", "Go to time")</f>
        <v/>
      </c>
    </row>
    <row r="4574">
      <c r="A4574">
        <f>HYPERLINK("https://www.youtube.com/watch?v=z5eaOo-2eJM", "Video")</f>
        <v/>
      </c>
      <c r="B4574" t="inlineStr">
        <is>
          <t>4:52</t>
        </is>
      </c>
      <c r="C4574" t="inlineStr">
        <is>
          <t>the Waymo driver, on a
given operation domain.</t>
        </is>
      </c>
      <c r="D4574">
        <f>HYPERLINK("https://www.youtube.com/watch?v=z5eaOo-2eJM&amp;t=292s", "Go to time")</f>
        <v/>
      </c>
    </row>
    <row r="4575">
      <c r="A4575">
        <f>HYPERLINK("https://www.youtube.com/watch?v=z5eaOo-2eJM", "Video")</f>
        <v/>
      </c>
      <c r="B4575" t="inlineStr">
        <is>
          <t>5:56</t>
        </is>
      </c>
      <c r="C4575" t="inlineStr">
        <is>
          <t>- [Adam] Waymo was a defensive driver,</t>
        </is>
      </c>
      <c r="D4575">
        <f>HYPERLINK("https://www.youtube.com/watch?v=z5eaOo-2eJM&amp;t=356s", "Go to time")</f>
        <v/>
      </c>
    </row>
    <row r="4576">
      <c r="A4576">
        <f>HYPERLINK("https://www.youtube.com/watch?v=z5eaOo-2eJM", "Video")</f>
        <v/>
      </c>
      <c r="B4576" t="inlineStr">
        <is>
          <t>6:19</t>
        </is>
      </c>
      <c r="C4576" t="inlineStr">
        <is>
          <t>over a span of about 6
million miles driven.</t>
        </is>
      </c>
      <c r="D4576">
        <f>HYPERLINK("https://www.youtube.com/watch?v=z5eaOo-2eJM&amp;t=379s", "Go to time")</f>
        <v/>
      </c>
    </row>
    <row r="4577">
      <c r="A4577">
        <f>HYPERLINK("https://www.youtube.com/watch?v=z5eaOo-2eJM", "Video")</f>
        <v/>
      </c>
      <c r="B4577" t="inlineStr">
        <is>
          <t>6:49</t>
        </is>
      </c>
      <c r="C4577" t="inlineStr">
        <is>
          <t>of the driverless car effort,</t>
        </is>
      </c>
      <c r="D4577">
        <f>HYPERLINK("https://www.youtube.com/watch?v=z5eaOo-2eJM&amp;t=409s", "Go to time")</f>
        <v/>
      </c>
    </row>
    <row r="4578">
      <c r="A4578">
        <f>HYPERLINK("https://www.youtube.com/watch?v=z5eaOo-2eJM", "Video")</f>
        <v/>
      </c>
      <c r="B4578" t="inlineStr">
        <is>
          <t>7:51</t>
        </is>
      </c>
      <c r="C4578" t="inlineStr">
        <is>
          <t>to learn the intricacies
and be able to drive safely</t>
        </is>
      </c>
      <c r="D4578">
        <f>HYPERLINK("https://www.youtube.com/watch?v=z5eaOo-2eJM&amp;t=471s", "Go to time")</f>
        <v/>
      </c>
    </row>
    <row r="4579">
      <c r="A4579">
        <f>HYPERLINK("https://www.youtube.com/watch?v=mJvCA_n2ouU", "Video")</f>
        <v/>
      </c>
      <c r="B4579" t="inlineStr">
        <is>
          <t>1:04</t>
        </is>
      </c>
      <c r="C4579" t="inlineStr">
        <is>
          <t>with a shift toward more market-driven</t>
        </is>
      </c>
      <c r="D4579">
        <f>HYPERLINK("https://www.youtube.com/watch?v=mJvCA_n2ouU&amp;t=64s", "Go to time")</f>
        <v/>
      </c>
    </row>
    <row r="4580">
      <c r="A4580">
        <f>HYPERLINK("https://www.youtube.com/watch?v=mJvCA_n2ouU", "Video")</f>
        <v/>
      </c>
      <c r="B4580" t="inlineStr">
        <is>
          <t>1:37</t>
        </is>
      </c>
      <c r="C4580" t="inlineStr">
        <is>
          <t>has driven wheat prices higher and</t>
        </is>
      </c>
      <c r="D4580">
        <f>HYPERLINK("https://www.youtube.com/watch?v=mJvCA_n2ouU&amp;t=97s", "Go to time")</f>
        <v/>
      </c>
    </row>
    <row r="4581">
      <c r="A4581">
        <f>HYPERLINK("https://www.youtube.com/watch?v=9C7tjJJYqKI", "Video")</f>
        <v/>
      </c>
      <c r="B4581" t="inlineStr">
        <is>
          <t>0:03</t>
        </is>
      </c>
      <c r="C4581" t="inlineStr">
        <is>
          <t>beyond that how can drivers get better</t>
        </is>
      </c>
      <c r="D4581">
        <f>HYPERLINK("https://www.youtube.com/watch?v=9C7tjJJYqKI&amp;t=3s", "Go to time")</f>
        <v/>
      </c>
    </row>
    <row r="4582">
      <c r="A4582">
        <f>HYPERLINK("https://www.youtube.com/watch?v=9C7tjJJYqKI", "Video")</f>
        <v/>
      </c>
      <c r="B4582" t="inlineStr">
        <is>
          <t>0:18</t>
        </is>
      </c>
      <c r="C4582" t="inlineStr">
        <is>
          <t>drive a small car to get good fuel</t>
        </is>
      </c>
      <c r="D4582">
        <f>HYPERLINK("https://www.youtube.com/watch?v=9C7tjJJYqKI&amp;t=18s", "Go to time")</f>
        <v/>
      </c>
    </row>
    <row r="4583">
      <c r="A4583">
        <f>HYPERLINK("https://www.youtube.com/watch?v=2TwSKPlZbeY", "Video")</f>
        <v/>
      </c>
      <c r="B4583" t="inlineStr">
        <is>
          <t>0:33</t>
        </is>
      </c>
      <c r="C4583" t="inlineStr">
        <is>
          <t>about an hour's drive south of Butler,</t>
        </is>
      </c>
      <c r="D4583">
        <f>HYPERLINK("https://www.youtube.com/watch?v=2TwSKPlZbeY&amp;t=33s", "Go to time")</f>
        <v/>
      </c>
    </row>
    <row r="4584">
      <c r="A4584">
        <f>HYPERLINK("https://www.youtube.com/watch?v=ZI0pn6fgCNE", "Video")</f>
        <v/>
      </c>
      <c r="B4584" t="inlineStr">
        <is>
          <t>2:21</t>
        </is>
      </c>
      <c r="C4584" t="inlineStr">
        <is>
          <t>on privacy and discretion being driven</t>
        </is>
      </c>
      <c r="D4584">
        <f>HYPERLINK("https://www.youtube.com/watch?v=ZI0pn6fgCNE&amp;t=141s", "Go to time")</f>
        <v/>
      </c>
    </row>
    <row r="4585">
      <c r="A4585">
        <f>HYPERLINK("https://www.youtube.com/watch?v=RRCbL7hte7c", "Video")</f>
        <v/>
      </c>
      <c r="B4585" t="inlineStr">
        <is>
          <t>3:37</t>
        </is>
      </c>
      <c r="C4585" t="inlineStr">
        <is>
          <t>amid Chinese President Xi
Jinping's anti-corruption drive</t>
        </is>
      </c>
      <c r="D4585">
        <f>HYPERLINK("https://www.youtube.com/watch?v=RRCbL7hte7c&amp;t=217s", "Go to time")</f>
        <v/>
      </c>
    </row>
    <row r="4586">
      <c r="A4586">
        <f>HYPERLINK("https://www.youtube.com/watch?v=CdMTyGnX-OE", "Video")</f>
        <v/>
      </c>
      <c r="B4586" t="inlineStr">
        <is>
          <t>4:16</t>
        </is>
      </c>
      <c r="C4586" t="inlineStr">
        <is>
          <t>that's really awesome fun to drive and</t>
        </is>
      </c>
      <c r="D4586">
        <f>HYPERLINK("https://www.youtube.com/watch?v=CdMTyGnX-OE&amp;t=256s", "Go to time")</f>
        <v/>
      </c>
    </row>
    <row r="4587">
      <c r="A4587">
        <f>HYPERLINK("https://www.youtube.com/watch?v=jdB3Ew2rHT8", "Video")</f>
        <v/>
      </c>
      <c r="B4587" t="inlineStr">
        <is>
          <t>1:40</t>
        </is>
      </c>
      <c r="C4587" t="inlineStr">
        <is>
          <t>you know like a test drive try before</t>
        </is>
      </c>
      <c r="D4587">
        <f>HYPERLINK("https://www.youtube.com/watch?v=jdB3Ew2rHT8&amp;t=100s", "Go to time")</f>
        <v/>
      </c>
    </row>
    <row r="4588">
      <c r="A4588">
        <f>HYPERLINK("https://www.youtube.com/watch?v=jdB3Ew2rHT8", "Video")</f>
        <v/>
      </c>
      <c r="B4588" t="inlineStr">
        <is>
          <t>4:32</t>
        </is>
      </c>
      <c r="C4588" t="inlineStr">
        <is>
          <t>Island that are within an hour's Drive</t>
        </is>
      </c>
      <c r="D4588">
        <f>HYPERLINK("https://www.youtube.com/watch?v=jdB3Ew2rHT8&amp;t=272s", "Go to time")</f>
        <v/>
      </c>
    </row>
    <row r="4589">
      <c r="A4589">
        <f>HYPERLINK("https://www.youtube.com/watch?v=NqMdQ6xvU_k", "Video")</f>
        <v/>
      </c>
      <c r="B4589" t="inlineStr">
        <is>
          <t>4:48</t>
        </is>
      </c>
      <c r="C4589" t="inlineStr">
        <is>
          <t>is driven by a robot and
a generation of people</t>
        </is>
      </c>
      <c r="D4589">
        <f>HYPERLINK("https://www.youtube.com/watch?v=NqMdQ6xvU_k&amp;t=288s", "Go to time")</f>
        <v/>
      </c>
    </row>
    <row r="4590">
      <c r="A4590">
        <f>HYPERLINK("https://www.youtube.com/watch?v=NqMdQ6xvU_k", "Video")</f>
        <v/>
      </c>
      <c r="B4590" t="inlineStr">
        <is>
          <t>4:53</t>
        </is>
      </c>
      <c r="C4590" t="inlineStr">
        <is>
          <t>would have ever driven a
car, we'll also be saying,</t>
        </is>
      </c>
      <c r="D4590">
        <f>HYPERLINK("https://www.youtube.com/watch?v=NqMdQ6xvU_k&amp;t=293s", "Go to time")</f>
        <v/>
      </c>
    </row>
    <row r="4591">
      <c r="A4591">
        <f>HYPERLINK("https://www.youtube.com/watch?v=OedoZK2VrLk", "Video")</f>
        <v/>
      </c>
      <c r="B4591" t="inlineStr">
        <is>
          <t>0:37</t>
        </is>
      </c>
      <c r="C4591" t="inlineStr">
        <is>
          <t>test drive the latest version of the</t>
        </is>
      </c>
      <c r="D4591">
        <f>HYPERLINK("https://www.youtube.com/watch?v=OedoZK2VrLk&amp;t=37s", "Go to time")</f>
        <v/>
      </c>
    </row>
    <row r="4592">
      <c r="A4592">
        <f>HYPERLINK("https://www.youtube.com/watch?v=n9FGeQBWXaA", "Video")</f>
        <v/>
      </c>
      <c r="B4592" t="inlineStr">
        <is>
          <t>0:51</t>
        </is>
      </c>
      <c r="C4592" t="inlineStr">
        <is>
          <t>in smartphone use by drivers and</t>
        </is>
      </c>
      <c r="D4592">
        <f>HYPERLINK("https://www.youtube.com/watch?v=n9FGeQBWXaA&amp;t=51s", "Go to time")</f>
        <v/>
      </c>
    </row>
    <row r="4593">
      <c r="A4593">
        <f>HYPERLINK("https://www.youtube.com/watch?v=n9FGeQBWXaA", "Video")</f>
        <v/>
      </c>
      <c r="B4593" t="inlineStr">
        <is>
          <t>1:43</t>
        </is>
      </c>
      <c r="C4593" t="inlineStr">
        <is>
          <t>drivers involved in crashes had a</t>
        </is>
      </c>
      <c r="D4593">
        <f>HYPERLINK("https://www.youtube.com/watch?v=n9FGeQBWXaA&amp;t=103s", "Go to time")</f>
        <v/>
      </c>
    </row>
    <row r="4594">
      <c r="A4594">
        <f>HYPERLINK("https://www.youtube.com/watch?v=4SX1A_o9Ao4", "Video")</f>
        <v/>
      </c>
      <c r="B4594" t="inlineStr">
        <is>
          <t>1:58</t>
        </is>
      </c>
      <c r="C4594" t="inlineStr">
        <is>
          <t>the driver of a truck and drives drives</t>
        </is>
      </c>
      <c r="D4594">
        <f>HYPERLINK("https://www.youtube.com/watch?v=4SX1A_o9Ao4&amp;t=118s", "Go to time")</f>
        <v/>
      </c>
    </row>
    <row r="4595">
      <c r="A4595">
        <f>HYPERLINK("https://www.youtube.com/watch?v=yzWgRJyts7o", "Video")</f>
        <v/>
      </c>
      <c r="B4595" t="inlineStr">
        <is>
          <t>26:48</t>
        </is>
      </c>
      <c r="C4595" t="inlineStr">
        <is>
          <t>very you know personal driven films</t>
        </is>
      </c>
      <c r="D4595">
        <f>HYPERLINK("https://www.youtube.com/watch?v=yzWgRJyts7o&amp;t=1608s", "Go to time")</f>
        <v/>
      </c>
    </row>
    <row r="4596">
      <c r="A4596">
        <f>HYPERLINK("https://www.youtube.com/watch?v=yKLlygx7fmk", "Video")</f>
        <v/>
      </c>
      <c r="B4596" t="inlineStr">
        <is>
          <t>1:09</t>
        </is>
      </c>
      <c r="C4596" t="inlineStr">
        <is>
          <t>they have helped Drive Hong Kong office</t>
        </is>
      </c>
      <c r="D4596">
        <f>HYPERLINK("https://www.youtube.com/watch?v=yKLlygx7fmk&amp;t=69s", "Go to time")</f>
        <v/>
      </c>
    </row>
    <row r="4597">
      <c r="A4597">
        <f>HYPERLINK("https://www.youtube.com/watch?v=vNyQQ_aLwfQ", "Video")</f>
        <v/>
      </c>
      <c r="B4597" t="inlineStr">
        <is>
          <t>0:53</t>
        </is>
      </c>
      <c r="C4597" t="inlineStr">
        <is>
          <t>time than it would take to drive to</t>
        </is>
      </c>
      <c r="D4597">
        <f>HYPERLINK("https://www.youtube.com/watch?v=vNyQQ_aLwfQ&amp;t=53s", "Go to time")</f>
        <v/>
      </c>
    </row>
    <row r="4598">
      <c r="A4598">
        <f>HYPERLINK("https://www.youtube.com/watch?v=vNyQQ_aLwfQ", "Video")</f>
        <v/>
      </c>
      <c r="B4598" t="inlineStr">
        <is>
          <t>1:20</t>
        </is>
      </c>
      <c r="C4598" t="inlineStr">
        <is>
          <t>year drivers in the New York metro area</t>
        </is>
      </c>
      <c r="D4598">
        <f>HYPERLINK("https://www.youtube.com/watch?v=vNyQQ_aLwfQ&amp;t=80s", "Go to time")</f>
        <v/>
      </c>
    </row>
    <row r="4599">
      <c r="A4599">
        <f>HYPERLINK("https://www.youtube.com/watch?v=vNyQQ_aLwfQ", "Video")</f>
        <v/>
      </c>
      <c r="B4599" t="inlineStr">
        <is>
          <t>2:20</t>
        </is>
      </c>
      <c r="C4599" t="inlineStr">
        <is>
          <t>drive time cost the average auto</t>
        </is>
      </c>
      <c r="D4599">
        <f>HYPERLINK("https://www.youtube.com/watch?v=vNyQQ_aLwfQ&amp;t=140s", "Go to time")</f>
        <v/>
      </c>
    </row>
    <row r="4600">
      <c r="A4600">
        <f>HYPERLINK("https://www.youtube.com/watch?v=N9fQ5NRZYUE", "Video")</f>
        <v/>
      </c>
      <c r="B4600" t="inlineStr">
        <is>
          <t>1:20</t>
        </is>
      </c>
      <c r="C4600" t="inlineStr">
        <is>
          <t>are the evidence driven outward-looking</t>
        </is>
      </c>
      <c r="D4600">
        <f>HYPERLINK("https://www.youtube.com/watch?v=N9fQ5NRZYUE&amp;t=80s", "Go to time")</f>
        <v/>
      </c>
    </row>
    <row r="4601">
      <c r="A4601">
        <f>HYPERLINK("https://www.youtube.com/watch?v=N9fQ5NRZYUE", "Video")</f>
        <v/>
      </c>
      <c r="B4601" t="inlineStr">
        <is>
          <t>1:32</t>
        </is>
      </c>
      <c r="C4601" t="inlineStr">
        <is>
          <t>evidence driven the data driven crowd</t>
        </is>
      </c>
      <c r="D4601">
        <f>HYPERLINK("https://www.youtube.com/watch?v=N9fQ5NRZYUE&amp;t=92s", "Go to time")</f>
        <v/>
      </c>
    </row>
    <row r="4602">
      <c r="A4602">
        <f>HYPERLINK("https://www.youtube.com/watch?v=v9aWiq9r9nM", "Video")</f>
        <v/>
      </c>
      <c r="B4602" t="inlineStr">
        <is>
          <t>2:05</t>
        </is>
      </c>
      <c r="C4602" t="inlineStr">
        <is>
          <t>driver's license or a passport one form</t>
        </is>
      </c>
      <c r="D4602">
        <f>HYPERLINK("https://www.youtube.com/watch?v=v9aWiq9r9nM&amp;t=125s", "Go to time")</f>
        <v/>
      </c>
    </row>
    <row r="4603">
      <c r="A4603">
        <f>HYPERLINK("https://www.youtube.com/watch?v=v9aWiq9r9nM", "Video")</f>
        <v/>
      </c>
      <c r="B4603" t="inlineStr">
        <is>
          <t>2:16</t>
        </is>
      </c>
      <c r="C4603" t="inlineStr">
        <is>
          <t>image can serve as your driver's license</t>
        </is>
      </c>
      <c r="D4603">
        <f>HYPERLINK("https://www.youtube.com/watch?v=v9aWiq9r9nM&amp;t=136s", "Go to time")</f>
        <v/>
      </c>
    </row>
    <row r="4604">
      <c r="A4604">
        <f>HYPERLINK("https://www.youtube.com/watch?v=v9aWiq9r9nM", "Video")</f>
        <v/>
      </c>
      <c r="B4604" t="inlineStr">
        <is>
          <t>2:44</t>
        </is>
      </c>
      <c r="C4604" t="inlineStr">
        <is>
          <t>individual your driver's license and</t>
        </is>
      </c>
      <c r="D4604">
        <f>HYPERLINK("https://www.youtube.com/watch?v=v9aWiq9r9nM&amp;t=164s", "Go to time")</f>
        <v/>
      </c>
    </row>
    <row r="4605">
      <c r="A4605">
        <f>HYPERLINK("https://www.youtube.com/watch?v=v9aWiq9r9nM", "Video")</f>
        <v/>
      </c>
      <c r="B4605" t="inlineStr">
        <is>
          <t>3:32</t>
        </is>
      </c>
      <c r="C4605" t="inlineStr">
        <is>
          <t>not only is it serving as your driver's</t>
        </is>
      </c>
      <c r="D4605">
        <f>HYPERLINK("https://www.youtube.com/watch?v=v9aWiq9r9nM&amp;t=212s", "Go to time")</f>
        <v/>
      </c>
    </row>
    <row r="4606">
      <c r="A4606">
        <f>HYPERLINK("https://www.youtube.com/watch?v=vwEKcDk2Qec", "Video")</f>
        <v/>
      </c>
      <c r="B4606" t="inlineStr">
        <is>
          <t>1:59</t>
        </is>
      </c>
      <c r="C4606" t="inlineStr">
        <is>
          <t>on Monday when they're trying to drive</t>
        </is>
      </c>
      <c r="D4606">
        <f>HYPERLINK("https://www.youtube.com/watch?v=vwEKcDk2Qec&amp;t=119s", "Go to time")</f>
        <v/>
      </c>
    </row>
    <row r="4607">
      <c r="A4607">
        <f>HYPERLINK("https://www.youtube.com/watch?v=DeRrByZC5tE", "Video")</f>
        <v/>
      </c>
      <c r="B4607" t="inlineStr">
        <is>
          <t>4:01</t>
        </is>
      </c>
      <c r="C4607" t="inlineStr">
        <is>
          <t>in the southeast of the
country are able to drive</t>
        </is>
      </c>
      <c r="D4607">
        <f>HYPERLINK("https://www.youtube.com/watch?v=DeRrByZC5tE&amp;t=241s", "Go to time")</f>
        <v/>
      </c>
    </row>
    <row r="4608">
      <c r="A4608">
        <f>HYPERLINK("https://www.youtube.com/watch?v=mWsqA0IY0S0", "Video")</f>
        <v/>
      </c>
      <c r="B4608" t="inlineStr">
        <is>
          <t>1:21</t>
        </is>
      </c>
      <c r="C4608" t="inlineStr">
        <is>
          <t>requirements drive up premiums a GOP</t>
        </is>
      </c>
      <c r="D4608">
        <f>HYPERLINK("https://www.youtube.com/watch?v=mWsqA0IY0S0&amp;t=81s", "Go to time")</f>
        <v/>
      </c>
    </row>
    <row r="4609">
      <c r="A4609">
        <f>HYPERLINK("https://www.youtube.com/watch?v=ZO47Gav2ZKc", "Video")</f>
        <v/>
      </c>
      <c r="B4609" t="inlineStr">
        <is>
          <t>4:12</t>
        </is>
      </c>
      <c r="C4609" t="inlineStr">
        <is>
          <t>something obnoxious to drive up their</t>
        </is>
      </c>
      <c r="D4609">
        <f>HYPERLINK("https://www.youtube.com/watch?v=ZO47Gav2ZKc&amp;t=252s", "Go to time")</f>
        <v/>
      </c>
    </row>
    <row r="4610">
      <c r="A4610">
        <f>HYPERLINK("https://www.youtube.com/watch?v=jrdDUCCk8_Q", "Video")</f>
        <v/>
      </c>
      <c r="B4610" t="inlineStr">
        <is>
          <t>44:49</t>
        </is>
      </c>
      <c r="C4610" t="inlineStr">
        <is>
          <t>to drive us from this sacred ground</t>
        </is>
      </c>
      <c r="D4610">
        <f>HYPERLINK("https://www.youtube.com/watch?v=jrdDUCCk8_Q&amp;t=2689s", "Go to time")</f>
        <v/>
      </c>
    </row>
    <row r="4611">
      <c r="A4611">
        <f>HYPERLINK("https://www.youtube.com/watch?v=jrdDUCCk8_Q", "Video")</f>
        <v/>
      </c>
      <c r="B4611" t="inlineStr">
        <is>
          <t>55:27</t>
        </is>
      </c>
      <c r="C4611" t="inlineStr">
        <is>
          <t>driven by conviction and devoted to one</t>
        </is>
      </c>
      <c r="D4611">
        <f>HYPERLINK("https://www.youtube.com/watch?v=jrdDUCCk8_Q&amp;t=3327s", "Go to time")</f>
        <v/>
      </c>
    </row>
    <row r="4612">
      <c r="A4612">
        <f>HYPERLINK("https://www.youtube.com/watch?v=FZT5-NWWzWE", "Video")</f>
        <v/>
      </c>
      <c r="B4612" t="inlineStr">
        <is>
          <t>0:42</t>
        </is>
      </c>
      <c r="C4612" t="inlineStr">
        <is>
          <t>driver once had to maneuver us out of a</t>
        </is>
      </c>
      <c r="D4612">
        <f>HYPERLINK("https://www.youtube.com/watch?v=FZT5-NWWzWE&amp;t=42s", "Go to time")</f>
        <v/>
      </c>
    </row>
    <row r="4613">
      <c r="A4613">
        <f>HYPERLINK("https://www.youtube.com/watch?v=uwwBrUvr980", "Video")</f>
        <v/>
      </c>
      <c r="B4613" t="inlineStr">
        <is>
          <t>0:05</t>
        </is>
      </c>
      <c r="C4613" t="inlineStr">
        <is>
          <t>practices you have to drive your child</t>
        </is>
      </c>
      <c r="D4613">
        <f>HYPERLINK("https://www.youtube.com/watch?v=uwwBrUvr980&amp;t=5s", "Go to time")</f>
        <v/>
      </c>
    </row>
    <row r="4614">
      <c r="A4614">
        <f>HYPERLINK("https://www.youtube.com/watch?v=IR_Mos0Spi4", "Video")</f>
        <v/>
      </c>
      <c r="B4614" t="inlineStr">
        <is>
          <t>0:52</t>
        </is>
      </c>
      <c r="C4614" t="inlineStr">
        <is>
          <t>Tesla driver was killed in a crash</t>
        </is>
      </c>
      <c r="D4614">
        <f>HYPERLINK("https://www.youtube.com/watch?v=IR_Mos0Spi4&amp;t=52s", "Go to time")</f>
        <v/>
      </c>
    </row>
    <row r="4615">
      <c r="A4615">
        <f>HYPERLINK("https://www.youtube.com/watch?v=IR_Mos0Spi4", "Video")</f>
        <v/>
      </c>
      <c r="B4615" t="inlineStr">
        <is>
          <t>1:03</t>
        </is>
      </c>
      <c r="C4615" t="inlineStr">
        <is>
          <t>on the driver who it said wasn't paying</t>
        </is>
      </c>
      <c r="D4615">
        <f>HYPERLINK("https://www.youtube.com/watch?v=IR_Mos0Spi4&amp;t=63s", "Go to time")</f>
        <v/>
      </c>
    </row>
    <row r="4616">
      <c r="A4616">
        <f>HYPERLINK("https://www.youtube.com/watch?v=ghUkrtW_fKM", "Video")</f>
        <v/>
      </c>
      <c r="B4616" t="inlineStr">
        <is>
          <t>2:42</t>
        </is>
      </c>
      <c r="C4616" t="inlineStr">
        <is>
          <t>current and driverless car companies how</t>
        </is>
      </c>
      <c r="D4616">
        <f>HYPERLINK("https://www.youtube.com/watch?v=ghUkrtW_fKM&amp;t=162s", "Go to time")</f>
        <v/>
      </c>
    </row>
    <row r="4617">
      <c r="A4617">
        <f>HYPERLINK("https://www.youtube.com/watch?v=ghUkrtW_fKM", "Video")</f>
        <v/>
      </c>
      <c r="B4617" t="inlineStr">
        <is>
          <t>6:45</t>
        </is>
      </c>
      <c r="C4617" t="inlineStr">
        <is>
          <t>so I'm a driverless car company and I</t>
        </is>
      </c>
      <c r="D4617">
        <f>HYPERLINK("https://www.youtube.com/watch?v=ghUkrtW_fKM&amp;t=405s", "Go to time")</f>
        <v/>
      </c>
    </row>
    <row r="4618">
      <c r="A4618">
        <f>HYPERLINK("https://www.youtube.com/watch?v=ghUkrtW_fKM", "Video")</f>
        <v/>
      </c>
      <c r="B4618" t="inlineStr">
        <is>
          <t>8:54</t>
        </is>
      </c>
      <c r="C4618" t="inlineStr">
        <is>
          <t>so if I wanted to go out and drive on</t>
        </is>
      </c>
      <c r="D4618">
        <f>HYPERLINK("https://www.youtube.com/watch?v=ghUkrtW_fKM&amp;t=534s", "Go to time")</f>
        <v/>
      </c>
    </row>
    <row r="4619">
      <c r="A4619">
        <f>HYPERLINK("https://www.youtube.com/watch?v=ghUkrtW_fKM", "Video")</f>
        <v/>
      </c>
      <c r="B4619" t="inlineStr">
        <is>
          <t>9:06</t>
        </is>
      </c>
      <c r="C4619" t="inlineStr">
        <is>
          <t>to drive on the roads is there that</t>
        </is>
      </c>
      <c r="D4619">
        <f>HYPERLINK("https://www.youtube.com/watch?v=ghUkrtW_fKM&amp;t=546s", "Go to time")</f>
        <v/>
      </c>
    </row>
    <row r="4620">
      <c r="A4620">
        <f>HYPERLINK("https://www.youtube.com/watch?v=ghUkrtW_fKM", "Video")</f>
        <v/>
      </c>
      <c r="B4620" t="inlineStr">
        <is>
          <t>9:09</t>
        </is>
      </c>
      <c r="C4620" t="inlineStr">
        <is>
          <t>driving test for driverless cars at the</t>
        </is>
      </c>
      <c r="D4620">
        <f>HYPERLINK("https://www.youtube.com/watch?v=ghUkrtW_fKM&amp;t=549s", "Go to time")</f>
        <v/>
      </c>
    </row>
    <row r="4621">
      <c r="A4621">
        <f>HYPERLINK("https://www.youtube.com/watch?v=ghUkrtW_fKM", "Video")</f>
        <v/>
      </c>
      <c r="B4621" t="inlineStr">
        <is>
          <t>10:27</t>
        </is>
      </c>
      <c r="C4621" t="inlineStr">
        <is>
          <t>so what a real self-driving car drivers</t>
        </is>
      </c>
      <c r="D4621">
        <f>HYPERLINK("https://www.youtube.com/watch?v=ghUkrtW_fKM&amp;t=627s", "Go to time")</f>
        <v/>
      </c>
    </row>
    <row r="4622">
      <c r="A4622">
        <f>HYPERLINK("https://www.youtube.com/watch?v=ghUkrtW_fKM", "Video")</f>
        <v/>
      </c>
      <c r="B4622" t="inlineStr">
        <is>
          <t>13:07</t>
        </is>
      </c>
      <c r="C4622" t="inlineStr">
        <is>
          <t>driverless car companies are also</t>
        </is>
      </c>
      <c r="D4622">
        <f>HYPERLINK("https://www.youtube.com/watch?v=ghUkrtW_fKM&amp;t=787s", "Go to time")</f>
        <v/>
      </c>
    </row>
    <row r="4623">
      <c r="A4623">
        <f>HYPERLINK("https://www.youtube.com/watch?v=VDzbrhl0P-s", "Video")</f>
        <v/>
      </c>
      <c r="B4623" t="inlineStr">
        <is>
          <t>1:20</t>
        </is>
      </c>
      <c r="C4623" t="inlineStr">
        <is>
          <t>expect the most drivers on the road this</t>
        </is>
      </c>
      <c r="D4623">
        <f>HYPERLINK("https://www.youtube.com/watch?v=VDzbrhl0P-s&amp;t=80s", "Go to time")</f>
        <v/>
      </c>
    </row>
    <row r="4624">
      <c r="A4624">
        <f>HYPERLINK("https://www.youtube.com/watch?v=VDzbrhl0P-s", "Video")</f>
        <v/>
      </c>
      <c r="B4624" t="inlineStr">
        <is>
          <t>1:25</t>
        </is>
      </c>
      <c r="C4624" t="inlineStr">
        <is>
          <t>10year high 33 million drivers hitting</t>
        </is>
      </c>
      <c r="D4624">
        <f>HYPERLINK("https://www.youtube.com/watch?v=VDzbrhl0P-s&amp;t=85s", "Go to time")</f>
        <v/>
      </c>
    </row>
    <row r="4625">
      <c r="A4625">
        <f>HYPERLINK("https://www.youtube.com/watch?v=VDzbrhl0P-s", "Video")</f>
        <v/>
      </c>
      <c r="B4625" t="inlineStr">
        <is>
          <t>1:32</t>
        </is>
      </c>
      <c r="C4625" t="inlineStr">
        <is>
          <t>expecting to see more drivers hit the</t>
        </is>
      </c>
      <c r="D4625">
        <f>HYPERLINK("https://www.youtube.com/watch?v=VDzbrhl0P-s&amp;t=92s", "Go to time")</f>
        <v/>
      </c>
    </row>
    <row r="4626">
      <c r="A4626">
        <f>HYPERLINK("https://www.youtube.com/watch?v=ytoriJYd7AQ", "Video")</f>
        <v/>
      </c>
      <c r="B4626" t="inlineStr">
        <is>
          <t>1:28</t>
        </is>
      </c>
      <c r="C4626" t="inlineStr">
        <is>
          <t>drive the stock lower so do you think</t>
        </is>
      </c>
      <c r="D4626">
        <f>HYPERLINK("https://www.youtube.com/watch?v=ytoriJYd7AQ&amp;t=88s", "Go to time")</f>
        <v/>
      </c>
    </row>
    <row r="4627">
      <c r="A4627">
        <f>HYPERLINK("https://www.youtube.com/watch?v=ytoriJYd7AQ", "Video")</f>
        <v/>
      </c>
      <c r="B4627" t="inlineStr">
        <is>
          <t>2:32</t>
        </is>
      </c>
      <c r="C4627" t="inlineStr">
        <is>
          <t>apple sales and so that's a huge driver</t>
        </is>
      </c>
      <c r="D4627">
        <f>HYPERLINK("https://www.youtube.com/watch?v=ytoriJYd7AQ&amp;t=152s", "Go to time")</f>
        <v/>
      </c>
    </row>
    <row r="4628">
      <c r="A4628">
        <f>HYPERLINK("https://www.youtube.com/watch?v=nXZxFXh-kEI", "Video")</f>
        <v/>
      </c>
      <c r="B4628" t="inlineStr">
        <is>
          <t>0:16</t>
        </is>
      </c>
      <c r="C4628" t="inlineStr">
        <is>
          <t>driven largely by weather-related</t>
        </is>
      </c>
      <c r="D4628">
        <f>HYPERLINK("https://www.youtube.com/watch?v=nXZxFXh-kEI&amp;t=16s", "Go to time")</f>
        <v/>
      </c>
    </row>
    <row r="4629">
      <c r="A4629">
        <f>HYPERLINK("https://www.youtube.com/watch?v=2lRgeAfpERI", "Video")</f>
        <v/>
      </c>
      <c r="B4629" t="inlineStr">
        <is>
          <t>1:53</t>
        </is>
      </c>
      <c r="C4629" t="inlineStr">
        <is>
          <t>Driver who plays kylo Ren show me the</t>
        </is>
      </c>
      <c r="D4629">
        <f>HYPERLINK("https://www.youtube.com/watch?v=2lRgeAfpERI&amp;t=113s", "Go to time")</f>
        <v/>
      </c>
    </row>
    <row r="4630">
      <c r="A4630">
        <f>HYPERLINK("https://www.youtube.com/watch?v=DHwJGpsG1iE", "Video")</f>
        <v/>
      </c>
      <c r="B4630" t="inlineStr">
        <is>
          <t>4:06</t>
        </is>
      </c>
      <c r="C4630" t="inlineStr">
        <is>
          <t>year you know athletes Drive sales of</t>
        </is>
      </c>
      <c r="D4630">
        <f>HYPERLINK("https://www.youtube.com/watch?v=DHwJGpsG1iE&amp;t=246s", "Go to time")</f>
        <v/>
      </c>
    </row>
    <row r="4631">
      <c r="A4631">
        <f>HYPERLINK("https://www.youtube.com/watch?v=DHwJGpsG1iE", "Video")</f>
        <v/>
      </c>
      <c r="B4631" t="inlineStr">
        <is>
          <t>4:09</t>
        </is>
      </c>
      <c r="C4631" t="inlineStr">
        <is>
          <t>shoes to a degree Warren really Drive</t>
        </is>
      </c>
      <c r="D4631">
        <f>HYPERLINK("https://www.youtube.com/watch?v=DHwJGpsG1iE&amp;t=249s", "Go to time")</f>
        <v/>
      </c>
    </row>
    <row r="4632">
      <c r="A4632">
        <f>HYPERLINK("https://www.youtube.com/watch?v=Kxbooc9TmAg", "Video")</f>
        <v/>
      </c>
      <c r="B4632" t="inlineStr">
        <is>
          <t>88:31</t>
        </is>
      </c>
      <c r="C4632" t="inlineStr">
        <is>
          <t>when her first frost to drive me to</t>
        </is>
      </c>
      <c r="D4632">
        <f>HYPERLINK("https://www.youtube.com/watch?v=Kxbooc9TmAg&amp;t=5311s", "Go to time")</f>
        <v/>
      </c>
    </row>
    <row r="4633">
      <c r="A4633">
        <f>HYPERLINK("https://www.youtube.com/watch?v=ERggZ5NVj88", "Video")</f>
        <v/>
      </c>
      <c r="B4633" t="inlineStr">
        <is>
          <t>0:17</t>
        </is>
      </c>
      <c r="C4633" t="inlineStr">
        <is>
          <t>the biggest drivers of the 63% rise in</t>
        </is>
      </c>
      <c r="D4633">
        <f>HYPERLINK("https://www.youtube.com/watch?v=ERggZ5NVj88&amp;t=17s", "Go to time")</f>
        <v/>
      </c>
    </row>
    <row r="4634">
      <c r="A4634">
        <f>HYPERLINK("https://www.youtube.com/watch?v=m8qxSfdPBSY", "Video")</f>
        <v/>
      </c>
      <c r="B4634" t="inlineStr">
        <is>
          <t>1:29</t>
        </is>
      </c>
      <c r="C4634" t="inlineStr">
        <is>
          <t>which is driven principally
by the United States.</t>
        </is>
      </c>
      <c r="D4634">
        <f>HYPERLINK("https://www.youtube.com/watch?v=m8qxSfdPBSY&amp;t=89s", "Go to time")</f>
        <v/>
      </c>
    </row>
    <row r="4635">
      <c r="A4635">
        <f>HYPERLINK("https://www.youtube.com/watch?v=fXMmQ7JgcWc", "Video")</f>
        <v/>
      </c>
      <c r="B4635" t="inlineStr">
        <is>
          <t>2:54</t>
        </is>
      </c>
      <c r="C4635" t="inlineStr">
        <is>
          <t>The increased demand drives
up the price of these options</t>
        </is>
      </c>
      <c r="D4635">
        <f>HYPERLINK("https://www.youtube.com/watch?v=fXMmQ7JgcWc&amp;t=174s", "Go to time")</f>
        <v/>
      </c>
    </row>
    <row r="4636">
      <c r="A4636">
        <f>HYPERLINK("https://www.youtube.com/watch?v=fXMmQ7JgcWc", "Video")</f>
        <v/>
      </c>
      <c r="B4636" t="inlineStr">
        <is>
          <t>2:57</t>
        </is>
      </c>
      <c r="C4636" t="inlineStr">
        <is>
          <t>which, in turn, drives up the VIX.</t>
        </is>
      </c>
      <c r="D4636">
        <f>HYPERLINK("https://www.youtube.com/watch?v=fXMmQ7JgcWc&amp;t=177s", "Go to time")</f>
        <v/>
      </c>
    </row>
    <row r="4637">
      <c r="A4637">
        <f>HYPERLINK("https://www.youtube.com/watch?v=JJxBySZwBAI", "Video")</f>
        <v/>
      </c>
      <c r="B4637" t="inlineStr">
        <is>
          <t>0:02</t>
        </is>
      </c>
      <c r="C4637" t="inlineStr">
        <is>
          <t>this Hardee's Drive-through, you'll hear</t>
        </is>
      </c>
      <c r="D4637">
        <f>HYPERLINK("https://www.youtube.com/watch?v=JJxBySZwBAI&amp;t=2s", "Go to time")</f>
        <v/>
      </c>
    </row>
    <row r="4638">
      <c r="A4638">
        <f>HYPERLINK("https://www.youtube.com/watch?v=JJxBySZwBAI", "Video")</f>
        <v/>
      </c>
      <c r="B4638" t="inlineStr">
        <is>
          <t>0:19</t>
        </is>
      </c>
      <c r="C4638" t="inlineStr">
        <is>
          <t>that now takes all the
drive-through orders</t>
        </is>
      </c>
      <c r="D4638">
        <f>HYPERLINK("https://www.youtube.com/watch?v=JJxBySZwBAI&amp;t=19s", "Go to time")</f>
        <v/>
      </c>
    </row>
    <row r="4639">
      <c r="A4639">
        <f>HYPERLINK("https://www.youtube.com/watch?v=JJxBySZwBAI", "Video")</f>
        <v/>
      </c>
      <c r="B4639" t="inlineStr">
        <is>
          <t>0:53</t>
        </is>
      </c>
      <c r="C4639" t="inlineStr">
        <is>
          <t>and drove through this
drive-through about 30 times</t>
        </is>
      </c>
      <c r="D4639">
        <f>HYPERLINK("https://www.youtube.com/watch?v=JJxBySZwBAI&amp;t=53s", "Go to time")</f>
        <v/>
      </c>
    </row>
    <row r="4640">
      <c r="A4640">
        <f>HYPERLINK("https://www.youtube.com/watch?v=JJxBySZwBAI", "Video")</f>
        <v/>
      </c>
      <c r="B4640" t="inlineStr">
        <is>
          <t>1:32</t>
        </is>
      </c>
      <c r="C4640" t="inlineStr">
        <is>
          <t>which there's typically a
lot of at a drive through.</t>
        </is>
      </c>
      <c r="D4640">
        <f>HYPERLINK("https://www.youtube.com/watch?v=JJxBySZwBAI&amp;t=92s", "Go to time")</f>
        <v/>
      </c>
    </row>
    <row r="4641">
      <c r="A4641">
        <f>HYPERLINK("https://www.youtube.com/watch?v=JJxBySZwBAI", "Video")</f>
        <v/>
      </c>
      <c r="B4641" t="inlineStr">
        <is>
          <t>4:31</t>
        </is>
      </c>
      <c r="C4641" t="inlineStr">
        <is>
          <t>One of the things I like
about drive-throughs,</t>
        </is>
      </c>
      <c r="D4641">
        <f>HYPERLINK("https://www.youtube.com/watch?v=JJxBySZwBAI&amp;t=271s", "Go to time")</f>
        <v/>
      </c>
    </row>
    <row r="4642">
      <c r="A4642">
        <f>HYPERLINK("https://www.youtube.com/watch?v=JJxBySZwBAI", "Video")</f>
        <v/>
      </c>
      <c r="B4642" t="inlineStr">
        <is>
          <t>4:33</t>
        </is>
      </c>
      <c r="C4642" t="inlineStr">
        <is>
          <t>or I say I like about drive-throughs,
is talking to a human.</t>
        </is>
      </c>
      <c r="D4642">
        <f>HYPERLINK("https://www.youtube.com/watch?v=JJxBySZwBAI&amp;t=273s", "Go to time")</f>
        <v/>
      </c>
    </row>
    <row r="4643">
      <c r="A4643">
        <f>HYPERLINK("https://www.youtube.com/watch?v=JJxBySZwBAI", "Video")</f>
        <v/>
      </c>
      <c r="B4643" t="inlineStr">
        <is>
          <t>5:47</t>
        </is>
      </c>
      <c r="C4643" t="inlineStr">
        <is>
          <t>at the basics of drive
through order taking.</t>
        </is>
      </c>
      <c r="D4643">
        <f>HYPERLINK("https://www.youtube.com/watch?v=JJxBySZwBAI&amp;t=347s", "Go to time")</f>
        <v/>
      </c>
    </row>
    <row r="4644">
      <c r="A4644">
        <f>HYPERLINK("https://www.youtube.com/watch?v=HbmFJiYFP7I", "Video")</f>
        <v/>
      </c>
      <c r="B4644" t="inlineStr">
        <is>
          <t>1:11</t>
        </is>
      </c>
      <c r="C4644" t="inlineStr">
        <is>
          <t>car Dan I mean what was the drive like</t>
        </is>
      </c>
      <c r="D4644">
        <f>HYPERLINK("https://www.youtube.com/watch?v=HbmFJiYFP7I&amp;t=71s", "Go to time")</f>
        <v/>
      </c>
    </row>
    <row r="4645">
      <c r="A4645">
        <f>HYPERLINK("https://www.youtube.com/watch?v=HbmFJiYFP7I", "Video")</f>
        <v/>
      </c>
      <c r="B4645" t="inlineStr">
        <is>
          <t>2:37</t>
        </is>
      </c>
      <c r="C4645" t="inlineStr">
        <is>
          <t>drives better on rough road second</t>
        </is>
      </c>
      <c r="D4645">
        <f>HYPERLINK("https://www.youtube.com/watch?v=HbmFJiYFP7I&amp;t=157s", "Go to time")</f>
        <v/>
      </c>
    </row>
    <row r="4646">
      <c r="A4646">
        <f>HYPERLINK("https://www.youtube.com/watch?v=bq3gcXF_P_Q", "Video")</f>
        <v/>
      </c>
      <c r="B4646" t="inlineStr">
        <is>
          <t>0:48</t>
        </is>
      </c>
      <c r="C4646" t="inlineStr">
        <is>
          <t>now A technology-driven push is underway</t>
        </is>
      </c>
      <c r="D4646">
        <f>HYPERLINK("https://www.youtube.com/watch?v=bq3gcXF_P_Q&amp;t=48s", "Go to time")</f>
        <v/>
      </c>
    </row>
    <row r="4647">
      <c r="A4647">
        <f>HYPERLINK("https://www.youtube.com/watch?v=ZrG25CJNZSM", "Video")</f>
        <v/>
      </c>
      <c r="B4647" t="inlineStr">
        <is>
          <t>2:26</t>
        </is>
      </c>
      <c r="C4647" t="inlineStr">
        <is>
          <t>It's mostly driven by younger consumers</t>
        </is>
      </c>
      <c r="D4647">
        <f>HYPERLINK("https://www.youtube.com/watch?v=ZrG25CJNZSM&amp;t=146s", "Go to time")</f>
        <v/>
      </c>
    </row>
    <row r="4648">
      <c r="A4648">
        <f>HYPERLINK("https://www.youtube.com/watch?v=IbM_g7fSgpM", "Video")</f>
        <v/>
      </c>
      <c r="B4648" t="inlineStr">
        <is>
          <t>1:01</t>
        </is>
      </c>
      <c r="C4648" t="inlineStr">
        <is>
          <t>driverless bus services have already</t>
        </is>
      </c>
      <c r="D4648">
        <f>HYPERLINK("https://www.youtube.com/watch?v=IbM_g7fSgpM&amp;t=61s", "Go to time")</f>
        <v/>
      </c>
    </row>
    <row r="4649">
      <c r="A4649">
        <f>HYPERLINK("https://www.youtube.com/watch?v=q5EBi0Qvk2M", "Video")</f>
        <v/>
      </c>
      <c r="B4649" t="inlineStr">
        <is>
          <t>0:16</t>
        </is>
      </c>
      <c r="C4649" t="inlineStr">
        <is>
          <t>demonstrate a self-driven cross-country</t>
        </is>
      </c>
      <c r="D4649">
        <f>HYPERLINK("https://www.youtube.com/watch?v=q5EBi0Qvk2M&amp;t=16s", "Go to time")</f>
        <v/>
      </c>
    </row>
    <row r="4650">
      <c r="A4650">
        <f>HYPERLINK("https://www.youtube.com/watch?v=q5EBi0Qvk2M", "Video")</f>
        <v/>
      </c>
      <c r="B4650" t="inlineStr">
        <is>
          <t>1:01</t>
        </is>
      </c>
      <c r="C4650" t="inlineStr">
        <is>
          <t>that the technology lulls drivers into</t>
        </is>
      </c>
      <c r="D4650">
        <f>HYPERLINK("https://www.youtube.com/watch?v=q5EBi0Qvk2M&amp;t=61s", "Go to time")</f>
        <v/>
      </c>
    </row>
    <row r="4651">
      <c r="A4651">
        <f>HYPERLINK("https://www.youtube.com/watch?v=-BikRvd00rY", "Video")</f>
        <v/>
      </c>
      <c r="B4651" t="inlineStr">
        <is>
          <t>1:49</t>
        </is>
      </c>
      <c r="C4651" t="inlineStr">
        <is>
          <t>of the things that um drives me the most</t>
        </is>
      </c>
      <c r="D4651">
        <f>HYPERLINK("https://www.youtube.com/watch?v=-BikRvd00rY&amp;t=109s", "Go to time")</f>
        <v/>
      </c>
    </row>
    <row r="4652">
      <c r="A4652">
        <f>HYPERLINK("https://www.youtube.com/watch?v=asfoArS2NdI", "Video")</f>
        <v/>
      </c>
      <c r="B4652" t="inlineStr">
        <is>
          <t>2:28</t>
        </is>
      </c>
      <c r="C4652" t="inlineStr">
        <is>
          <t>That can drive prices down.</t>
        </is>
      </c>
      <c r="D4652">
        <f>HYPERLINK("https://www.youtube.com/watch?v=asfoArS2NdI&amp;t=148s", "Go to time")</f>
        <v/>
      </c>
    </row>
    <row r="4653">
      <c r="A4653">
        <f>HYPERLINK("https://www.youtube.com/watch?v=asfoArS2NdI", "Video")</f>
        <v/>
      </c>
      <c r="B4653" t="inlineStr">
        <is>
          <t>4:42</t>
        </is>
      </c>
      <c r="C4653" t="inlineStr">
        <is>
          <t>that can drive up stock prices</t>
        </is>
      </c>
      <c r="D4653">
        <f>HYPERLINK("https://www.youtube.com/watch?v=asfoArS2NdI&amp;t=282s", "Go to time")</f>
        <v/>
      </c>
    </row>
    <row r="4654">
      <c r="A4654">
        <f>HYPERLINK("https://www.youtube.com/watch?v=J09ajQbF694", "Video")</f>
        <v/>
      </c>
      <c r="B4654" t="inlineStr">
        <is>
          <t>0:41</t>
        </is>
      </c>
      <c r="C4654" t="inlineStr">
        <is>
          <t>drive to become the best female fighter</t>
        </is>
      </c>
      <c r="D4654">
        <f>HYPERLINK("https://www.youtube.com/watch?v=J09ajQbF694&amp;t=41s", "Go to time")</f>
        <v/>
      </c>
    </row>
    <row r="4655">
      <c r="A4655">
        <f>HYPERLINK("https://www.youtube.com/watch?v=TVn_4gMw4QQ", "Video")</f>
        <v/>
      </c>
      <c r="B4655" t="inlineStr">
        <is>
          <t>0:43</t>
        </is>
      </c>
      <c r="C4655" t="inlineStr">
        <is>
          <t>he had to drive 50 miles away or out of</t>
        </is>
      </c>
      <c r="D4655">
        <f>HYPERLINK("https://www.youtube.com/watch?v=TVn_4gMw4QQ&amp;t=43s", "Go to time")</f>
        <v/>
      </c>
    </row>
    <row r="4656">
      <c r="A4656">
        <f>HYPERLINK("https://www.youtube.com/watch?v=6qrK9_asv1s", "Video")</f>
        <v/>
      </c>
      <c r="B4656" t="inlineStr">
        <is>
          <t>4:44</t>
        </is>
      </c>
      <c r="C4656" t="inlineStr">
        <is>
          <t>is that we have rovers that
can drive several kilometers,</t>
        </is>
      </c>
      <c r="D4656">
        <f>HYPERLINK("https://www.youtube.com/watch?v=6qrK9_asv1s&amp;t=284s", "Go to time")</f>
        <v/>
      </c>
    </row>
    <row r="4657">
      <c r="A4657">
        <f>HYPERLINK("https://www.youtube.com/watch?v=u3gEGtqXXqg", "Video")</f>
        <v/>
      </c>
      <c r="B4657" t="inlineStr">
        <is>
          <t>3:01</t>
        </is>
      </c>
      <c r="C4657" t="inlineStr">
        <is>
          <t>you have a two and a half hour drive north</t>
        </is>
      </c>
      <c r="D4657">
        <f>HYPERLINK("https://www.youtube.com/watch?v=u3gEGtqXXqg&amp;t=181s", "Go to time")</f>
        <v/>
      </c>
    </row>
    <row r="4658">
      <c r="A4658">
        <f>HYPERLINK("https://www.youtube.com/watch?v=mxm62RIzKi4", "Video")</f>
        <v/>
      </c>
      <c r="B4658" t="inlineStr">
        <is>
          <t>0:01</t>
        </is>
      </c>
      <c r="C4658" t="inlineStr">
        <is>
          <t>few things can deflate a car driver as</t>
        </is>
      </c>
      <c r="D4658">
        <f>HYPERLINK("https://www.youtube.com/watch?v=mxm62RIzKi4&amp;t=1s", "Go to time")</f>
        <v/>
      </c>
    </row>
    <row r="4659">
      <c r="A4659">
        <f>HYPERLINK("https://www.youtube.com/watch?v=mxm62RIzKi4", "Video")</f>
        <v/>
      </c>
      <c r="B4659" t="inlineStr">
        <is>
          <t>0:09</t>
        </is>
      </c>
      <c r="C4659" t="inlineStr">
        <is>
          <t>let the car sit in the driveway for a</t>
        </is>
      </c>
      <c r="D4659">
        <f>HYPERLINK("https://www.youtube.com/watch?v=mxm62RIzKi4&amp;t=9s", "Go to time")</f>
        <v/>
      </c>
    </row>
    <row r="4660">
      <c r="A4660">
        <f>HYPERLINK("https://www.youtube.com/watch?v=ZFndKRwZ6MI", "Video")</f>
        <v/>
      </c>
      <c r="B4660" t="inlineStr">
        <is>
          <t>0:18</t>
        </is>
      </c>
      <c r="C4660" t="inlineStr">
        <is>
          <t>to the market our test driver who had</t>
        </is>
      </c>
      <c r="D4660">
        <f>HYPERLINK("https://www.youtube.com/watch?v=ZFndKRwZ6MI&amp;t=18s", "Go to time")</f>
        <v/>
      </c>
    </row>
    <row r="4661">
      <c r="A4661">
        <f>HYPERLINK("https://www.youtube.com/watch?v=ZFndKRwZ6MI", "Video")</f>
        <v/>
      </c>
      <c r="B4661" t="inlineStr">
        <is>
          <t>0:26</t>
        </is>
      </c>
      <c r="C4661" t="inlineStr">
        <is>
          <t>can imagine the bus driver assumed we</t>
        </is>
      </c>
      <c r="D4661">
        <f>HYPERLINK("https://www.youtube.com/watch?v=ZFndKRwZ6MI&amp;t=26s", "Go to time")</f>
        <v/>
      </c>
    </row>
    <row r="4662">
      <c r="A4662">
        <f>HYPERLINK("https://www.youtube.com/watch?v=ZFndKRwZ6MI", "Video")</f>
        <v/>
      </c>
      <c r="B4662" t="inlineStr">
        <is>
          <t>0:39</t>
        </is>
      </c>
      <c r="C4662" t="inlineStr">
        <is>
          <t>drivers on the road every day Google</t>
        </is>
      </c>
      <c r="D4662">
        <f>HYPERLINK("https://www.youtube.com/watch?v=ZFndKRwZ6MI&amp;t=39s", "Go to time")</f>
        <v/>
      </c>
    </row>
    <row r="4663">
      <c r="A4663">
        <f>HYPERLINK("https://www.youtube.com/watch?v=df7RsiD7tM8", "Video")</f>
        <v/>
      </c>
      <c r="B4663" t="inlineStr">
        <is>
          <t>0:28</t>
        </is>
      </c>
      <c r="C4663" t="inlineStr">
        <is>
          <t>goes up and that often drives up the</t>
        </is>
      </c>
      <c r="D4663">
        <f>HYPERLINK("https://www.youtube.com/watch?v=df7RsiD7tM8&amp;t=28s", "Go to time")</f>
        <v/>
      </c>
    </row>
    <row r="4664">
      <c r="A4664">
        <f>HYPERLINK("https://www.youtube.com/watch?v=df7RsiD7tM8", "Video")</f>
        <v/>
      </c>
      <c r="B4664" t="inlineStr">
        <is>
          <t>1:29</t>
        </is>
      </c>
      <c r="C4664" t="inlineStr">
        <is>
          <t>did do was buy back shares drive up the</t>
        </is>
      </c>
      <c r="D4664">
        <f>HYPERLINK("https://www.youtube.com/watch?v=df7RsiD7tM8&amp;t=89s", "Go to time")</f>
        <v/>
      </c>
    </row>
    <row r="4665">
      <c r="A4665">
        <f>HYPERLINK("https://www.youtube.com/watch?v=4-Biz14_Uow", "Video")</f>
        <v/>
      </c>
      <c r="B4665" t="inlineStr">
        <is>
          <t>2:08</t>
        </is>
      </c>
      <c r="C4665" t="inlineStr">
        <is>
          <t>drives me to do the right thing every</t>
        </is>
      </c>
      <c r="D4665">
        <f>HYPERLINK("https://www.youtube.com/watch?v=4-Biz14_Uow&amp;t=128s", "Go to time")</f>
        <v/>
      </c>
    </row>
    <row r="4666">
      <c r="A4666">
        <f>HYPERLINK("https://www.youtube.com/watch?v=4-Biz14_Uow", "Video")</f>
        <v/>
      </c>
      <c r="B4666" t="inlineStr">
        <is>
          <t>2:25</t>
        </is>
      </c>
      <c r="C4666" t="inlineStr">
        <is>
          <t>hired bus driver hired an assistant and</t>
        </is>
      </c>
      <c r="D4666">
        <f>HYPERLINK("https://www.youtube.com/watch?v=4-Biz14_Uow&amp;t=145s", "Go to time")</f>
        <v/>
      </c>
    </row>
    <row r="4667">
      <c r="A4667">
        <f>HYPERLINK("https://www.youtube.com/watch?v=6xqa43LMHz0", "Video")</f>
        <v/>
      </c>
      <c r="B4667" t="inlineStr">
        <is>
          <t>0:27</t>
        </is>
      </c>
      <c r="C4667" t="inlineStr">
        <is>
          <t>with no driver required GM president Dan</t>
        </is>
      </c>
      <c r="D4667">
        <f>HYPERLINK("https://www.youtube.com/watch?v=6xqa43LMHz0&amp;t=27s", "Go to time")</f>
        <v/>
      </c>
    </row>
    <row r="4668">
      <c r="A4668">
        <f>HYPERLINK("https://www.youtube.com/watch?v=6xqa43LMHz0", "Video")</f>
        <v/>
      </c>
      <c r="B4668" t="inlineStr">
        <is>
          <t>0:59</t>
        </is>
      </c>
      <c r="C4668" t="inlineStr">
        <is>
          <t>drivers can rent rent cars at discounted</t>
        </is>
      </c>
      <c r="D4668">
        <f>HYPERLINK("https://www.youtube.com/watch?v=6xqa43LMHz0&amp;t=59s", "Go to time")</f>
        <v/>
      </c>
    </row>
    <row r="4669">
      <c r="A4669">
        <f>HYPERLINK("https://www.youtube.com/watch?v=EnUntZaAC9U", "Video")</f>
        <v/>
      </c>
      <c r="B4669" t="inlineStr">
        <is>
          <t>0:33</t>
        </is>
      </c>
      <c r="C4669" t="inlineStr">
        <is>
          <t>the van the driver of the Walmart truck</t>
        </is>
      </c>
      <c r="D4669">
        <f>HYPERLINK("https://www.youtube.com/watch?v=EnUntZaAC9U&amp;t=33s", "Go to time")</f>
        <v/>
      </c>
    </row>
    <row r="4670">
      <c r="A4670">
        <f>HYPERLINK("https://www.youtube.com/watch?v=EnUntZaAC9U", "Video")</f>
        <v/>
      </c>
      <c r="B4670" t="inlineStr">
        <is>
          <t>0:44</t>
        </is>
      </c>
      <c r="C4670" t="inlineStr">
        <is>
          <t>complaint said the driver hadn't slept</t>
        </is>
      </c>
      <c r="D4670">
        <f>HYPERLINK("https://www.youtube.com/watch?v=EnUntZaAC9U&amp;t=44s", "Go to time")</f>
        <v/>
      </c>
    </row>
    <row r="4671">
      <c r="A4671">
        <f>HYPERLINK("https://www.youtube.com/watch?v=Owe-OqQNyhs", "Video")</f>
        <v/>
      </c>
      <c r="B4671" t="inlineStr">
        <is>
          <t>2:27</t>
        </is>
      </c>
      <c r="C4671" t="inlineStr">
        <is>
          <t>They had a lot of data driven testimony that sought to</t>
        </is>
      </c>
      <c r="D4671">
        <f>HYPERLINK("https://www.youtube.com/watch?v=Owe-OqQNyhs&amp;t=147s", "Go to time")</f>
        <v/>
      </c>
    </row>
    <row r="4672">
      <c r="A4672">
        <f>HYPERLINK("https://www.youtube.com/watch?v=eN3-Dv-LLuY", "Video")</f>
        <v/>
      </c>
      <c r="B4672" t="inlineStr">
        <is>
          <t>0:20</t>
        </is>
      </c>
      <c r="C4672" t="inlineStr">
        <is>
          <t>in his driveway described as an Evidence</t>
        </is>
      </c>
      <c r="D4672">
        <f>HYPERLINK("https://www.youtube.com/watch?v=eN3-Dv-LLuY&amp;t=20s", "Go to time")</f>
        <v/>
      </c>
    </row>
    <row r="4673">
      <c r="A4673">
        <f>HYPERLINK("https://www.youtube.com/watch?v=t3ogdzgS-WM", "Video")</f>
        <v/>
      </c>
      <c r="B4673" t="inlineStr">
        <is>
          <t>1:20</t>
        </is>
      </c>
      <c r="C4673" t="inlineStr">
        <is>
          <t>your heart my you Poong is a driver at</t>
        </is>
      </c>
      <c r="D4673">
        <f>HYPERLINK("https://www.youtube.com/watch?v=t3ogdzgS-WM&amp;t=80s", "Go to time")</f>
        <v/>
      </c>
    </row>
    <row r="4674">
      <c r="A4674">
        <f>HYPERLINK("https://www.youtube.com/watch?v=Zoifo-KcCR4", "Video")</f>
        <v/>
      </c>
      <c r="B4674" t="inlineStr">
        <is>
          <t>1:23</t>
        </is>
      </c>
      <c r="C4674" t="inlineStr">
        <is>
          <t>program to drive one of those numbers up</t>
        </is>
      </c>
      <c r="D4674">
        <f>HYPERLINK("https://www.youtube.com/watch?v=Zoifo-KcCR4&amp;t=83s", "Go to time")</f>
        <v/>
      </c>
    </row>
    <row r="4675">
      <c r="A4675">
        <f>HYPERLINK("https://www.youtube.com/watch?v=rFo2crNIkcc", "Video")</f>
        <v/>
      </c>
      <c r="B4675" t="inlineStr">
        <is>
          <t>0:07</t>
        </is>
      </c>
      <c r="C4675" t="inlineStr">
        <is>
          <t>operation has begun to drive out</t>
        </is>
      </c>
      <c r="D4675">
        <f>HYPERLINK("https://www.youtube.com/watch?v=rFo2crNIkcc&amp;t=7s", "Go to time")</f>
        <v/>
      </c>
    </row>
    <row r="4676">
      <c r="A4676">
        <f>HYPERLINK("https://www.youtube.com/watch?v=N8-McySVLNI", "Video")</f>
        <v/>
      </c>
      <c r="B4676" t="inlineStr">
        <is>
          <t>0:02</t>
        </is>
      </c>
      <c r="C4676" t="inlineStr">
        <is>
          <t>that you were a safe driver how would</t>
        </is>
      </c>
      <c r="D4676">
        <f>HYPERLINK("https://www.youtube.com/watch?v=N8-McySVLNI&amp;t=2s", "Go to time")</f>
        <v/>
      </c>
    </row>
    <row r="4677">
      <c r="A4677">
        <f>HYPERLINK("https://www.youtube.com/watch?v=N8-McySVLNI", "Video")</f>
        <v/>
      </c>
      <c r="B4677" t="inlineStr">
        <is>
          <t>0:08</t>
        </is>
      </c>
      <c r="C4677" t="inlineStr">
        <is>
          <t>maybe how many miles you've driven or</t>
        </is>
      </c>
      <c r="D4677">
        <f>HYPERLINK("https://www.youtube.com/watch?v=N8-McySVLNI&amp;t=8s", "Go to time")</f>
        <v/>
      </c>
    </row>
    <row r="4678">
      <c r="A4678">
        <f>HYPERLINK("https://www.youtube.com/watch?v=N8-McySVLNI", "Video")</f>
        <v/>
      </c>
      <c r="B4678" t="inlineStr">
        <is>
          <t>0:22</t>
        </is>
      </c>
      <c r="C4678" t="inlineStr">
        <is>
          <t>see you may have seen driverless</t>
        </is>
      </c>
      <c r="D4678">
        <f>HYPERLINK("https://www.youtube.com/watch?v=N8-McySVLNI&amp;t=22s", "Go to time")</f>
        <v/>
      </c>
    </row>
    <row r="4679">
      <c r="A4679">
        <f>HYPERLINK("https://www.youtube.com/watch?v=N8-McySVLNI", "Video")</f>
        <v/>
      </c>
      <c r="B4679" t="inlineStr">
        <is>
          <t>0:38</t>
        </is>
      </c>
      <c r="C4679" t="inlineStr">
        <is>
          <t>drive it's unlikely they'll encounter</t>
        </is>
      </c>
      <c r="D4679">
        <f>HYPERLINK("https://www.youtube.com/watch?v=N8-McySVLNI&amp;t=38s", "Go to time")</f>
        <v/>
      </c>
    </row>
    <row r="4680">
      <c r="A4680">
        <f>HYPERLINK("https://www.youtube.com/watch?v=N8-McySVLNI", "Video")</f>
        <v/>
      </c>
      <c r="B4680" t="inlineStr">
        <is>
          <t>0:50</t>
        </is>
      </c>
      <c r="C4680" t="inlineStr">
        <is>
          <t>throw off a driverless algorithm if it</t>
        </is>
      </c>
      <c r="D4680">
        <f>HYPERLINK("https://www.youtube.com/watch?v=N8-McySVLNI&amp;t=50s", "Go to time")</f>
        <v/>
      </c>
    </row>
    <row r="4681">
      <c r="A4681">
        <f>HYPERLINK("https://www.youtube.com/watch?v=N8-McySVLNI", "Video")</f>
        <v/>
      </c>
      <c r="B4681" t="inlineStr">
        <is>
          <t>0:58</t>
        </is>
      </c>
      <c r="C4681" t="inlineStr">
        <is>
          <t>schools where their AI can safely drive</t>
        </is>
      </c>
      <c r="D4681">
        <f>HYPERLINK("https://www.youtube.com/watch?v=N8-McySVLNI&amp;t=58s", "Go to time")</f>
        <v/>
      </c>
    </row>
    <row r="4682">
      <c r="A4682">
        <f>HYPERLINK("https://www.youtube.com/watch?v=N8-McySVLNI", "Video")</f>
        <v/>
      </c>
      <c r="B4682" t="inlineStr">
        <is>
          <t>1:23</t>
        </is>
      </c>
      <c r="C4682" t="inlineStr">
        <is>
          <t>vehicle we couldn't just drive a bunch</t>
        </is>
      </c>
      <c r="D4682">
        <f>HYPERLINK("https://www.youtube.com/watch?v=N8-McySVLNI&amp;t=83s", "Go to time")</f>
        <v/>
      </c>
    </row>
    <row r="4683">
      <c r="A4683">
        <f>HYPERLINK("https://www.youtube.com/watch?v=N8-McySVLNI", "Video")</f>
        <v/>
      </c>
      <c r="B4683" t="inlineStr">
        <is>
          <t>1:48</t>
        </is>
      </c>
      <c r="C4683" t="inlineStr">
        <is>
          <t>algorithm the Aurora driver thinks that</t>
        </is>
      </c>
      <c r="D4683">
        <f>HYPERLINK("https://www.youtube.com/watch?v=N8-McySVLNI&amp;t=108s", "Go to time")</f>
        <v/>
      </c>
    </row>
    <row r="4684">
      <c r="A4684">
        <f>HYPERLINK("https://www.youtube.com/watch?v=N8-McySVLNI", "Video")</f>
        <v/>
      </c>
      <c r="B4684" t="inlineStr">
        <is>
          <t>2:24</t>
        </is>
      </c>
      <c r="C4684" t="inlineStr">
        <is>
          <t>driverless companies like waymo and</t>
        </is>
      </c>
      <c r="D4684">
        <f>HYPERLINK("https://www.youtube.com/watch?v=N8-McySVLNI&amp;t=144s", "Go to time")</f>
        <v/>
      </c>
    </row>
    <row r="4685">
      <c r="A4685">
        <f>HYPERLINK("https://www.youtube.com/watch?v=N8-McySVLNI", "Video")</f>
        <v/>
      </c>
      <c r="B4685" t="inlineStr">
        <is>
          <t>4:03</t>
        </is>
      </c>
      <c r="C4685" t="inlineStr">
        <is>
          <t>driverless vehicle companies could plug</t>
        </is>
      </c>
      <c r="D4685">
        <f>HYPERLINK("https://www.youtube.com/watch?v=N8-McySVLNI&amp;t=243s", "Go to time")</f>
        <v/>
      </c>
    </row>
    <row r="4686">
      <c r="A4686">
        <f>HYPERLINK("https://www.youtube.com/watch?v=N8-McySVLNI", "Video")</f>
        <v/>
      </c>
      <c r="B4686" t="inlineStr">
        <is>
          <t>5:04</t>
        </is>
      </c>
      <c r="C4686" t="inlineStr">
        <is>
          <t>driverless cars don't need to test or</t>
        </is>
      </c>
      <c r="D4686">
        <f>HYPERLINK("https://www.youtube.com/watch?v=N8-McySVLNI&amp;t=304s", "Go to time")</f>
        <v/>
      </c>
    </row>
    <row r="4687">
      <c r="A4687">
        <f>HYPERLINK("https://www.youtube.com/watch?v=Q6kzBfL5Rkk", "Video")</f>
        <v/>
      </c>
      <c r="B4687" t="inlineStr">
        <is>
          <t>0:22</t>
        </is>
      </c>
      <c r="C4687" t="inlineStr">
        <is>
          <t>campaign as drivers to knock on the hood</t>
        </is>
      </c>
      <c r="D4687">
        <f>HYPERLINK("https://www.youtube.com/watch?v=Q6kzBfL5Rkk&amp;t=22s", "Go to time")</f>
        <v/>
      </c>
    </row>
    <row r="4688">
      <c r="A4688">
        <f>HYPERLINK("https://www.youtube.com/watch?v=G-2lKEti4qc", "Video")</f>
        <v/>
      </c>
      <c r="B4688" t="inlineStr">
        <is>
          <t>0:23</t>
        </is>
      </c>
      <c r="C4688" t="inlineStr">
        <is>
          <t>commodity prices do Drive the rate</t>
        </is>
      </c>
      <c r="D4688">
        <f>HYPERLINK("https://www.youtube.com/watch?v=G-2lKEti4qc&amp;t=23s", "Go to time")</f>
        <v/>
      </c>
    </row>
    <row r="4689">
      <c r="A4689">
        <f>HYPERLINK("https://www.youtube.com/watch?v=PL03r5TfitI", "Video")</f>
        <v/>
      </c>
      <c r="B4689" t="inlineStr">
        <is>
          <t>0:55</t>
        </is>
      </c>
      <c r="C4689" t="inlineStr">
        <is>
          <t>then you can just drive lonely the rides</t>
        </is>
      </c>
      <c r="D4689">
        <f>HYPERLINK("https://www.youtube.com/watch?v=PL03r5TfitI&amp;t=55s", "Go to time")</f>
        <v/>
      </c>
    </row>
    <row r="4690">
      <c r="A4690">
        <f>HYPERLINK("https://www.youtube.com/watch?v=laKkn5Sp-Ok", "Video")</f>
        <v/>
      </c>
      <c r="B4690" t="inlineStr">
        <is>
          <t>0:51</t>
        </is>
      </c>
      <c r="C4690" t="inlineStr">
        <is>
          <t>which just drives me crazy put them away</t>
        </is>
      </c>
      <c r="D4690">
        <f>HYPERLINK("https://www.youtube.com/watch?v=laKkn5Sp-Ok&amp;t=51s", "Go to time")</f>
        <v/>
      </c>
    </row>
    <row r="4691">
      <c r="A4691">
        <f>HYPERLINK("https://www.youtube.com/watch?v=rHO-ctMgygc", "Video")</f>
        <v/>
      </c>
      <c r="B4691" t="inlineStr">
        <is>
          <t>2:19</t>
        </is>
      </c>
      <c r="C4691" t="inlineStr">
        <is>
          <t>driven up by building cars locally Tesla</t>
        </is>
      </c>
      <c r="D4691">
        <f>HYPERLINK("https://www.youtube.com/watch?v=rHO-ctMgygc&amp;t=139s", "Go to time")</f>
        <v/>
      </c>
    </row>
    <row r="4692">
      <c r="A4692">
        <f>HYPERLINK("https://www.youtube.com/watch?v=LtxRa9Xd4vw", "Video")</f>
        <v/>
      </c>
      <c r="B4692" t="inlineStr">
        <is>
          <t>4:33</t>
        </is>
      </c>
      <c r="C4692" t="inlineStr">
        <is>
          <t>what we found is that the main drivers</t>
        </is>
      </c>
      <c r="D4692">
        <f>HYPERLINK("https://www.youtube.com/watch?v=LtxRa9Xd4vw&amp;t=273s", "Go to time")</f>
        <v/>
      </c>
    </row>
    <row r="4693">
      <c r="A4693">
        <f>HYPERLINK("https://www.youtube.com/watch?v=7ebVUj2lh9U", "Video")</f>
        <v/>
      </c>
      <c r="B4693" t="inlineStr">
        <is>
          <t>6:56</t>
        </is>
      </c>
      <c r="C4693" t="inlineStr">
        <is>
          <t>one study estimated that the acceleration of climate change driven by a thawing Arctic</t>
        </is>
      </c>
      <c r="D4693">
        <f>HYPERLINK("https://www.youtube.com/watch?v=7ebVUj2lh9U&amp;t=416s", "Go to time")</f>
        <v/>
      </c>
    </row>
    <row r="4694">
      <c r="A4694">
        <f>HYPERLINK("https://www.youtube.com/watch?v=7ebVUj2lh9U", "Video")</f>
        <v/>
      </c>
      <c r="B4694" t="inlineStr">
        <is>
          <t>7:21</t>
        </is>
      </c>
      <c r="C4694" t="inlineStr">
        <is>
          <t>which drives a lot of our weather systems that's going to have knock on consequences on our</t>
        </is>
      </c>
      <c r="D4694">
        <f>HYPERLINK("https://www.youtube.com/watch?v=7ebVUj2lh9U&amp;t=441s", "Go to time")</f>
        <v/>
      </c>
    </row>
    <row r="4695">
      <c r="A4695">
        <f>HYPERLINK("https://www.youtube.com/watch?v=OmjxfcAIpzA", "Video")</f>
        <v/>
      </c>
      <c r="B4695" t="inlineStr">
        <is>
          <t>1:37</t>
        </is>
      </c>
      <c r="C4695" t="inlineStr">
        <is>
          <t>now i don't normally drive to work but i</t>
        </is>
      </c>
      <c r="D4695">
        <f>HYPERLINK("https://www.youtube.com/watch?v=OmjxfcAIpzA&amp;t=97s", "Go to time")</f>
        <v/>
      </c>
    </row>
    <row r="4696">
      <c r="A4696">
        <f>HYPERLINK("https://www.youtube.com/watch?v=4Uo8xZKgYy4", "Video")</f>
        <v/>
      </c>
      <c r="B4696" t="inlineStr">
        <is>
          <t>0:13</t>
        </is>
      </c>
      <c r="C4696" t="inlineStr">
        <is>
          <t>surname Chong and had driven from a</t>
        </is>
      </c>
      <c r="D4696">
        <f>HYPERLINK("https://www.youtube.com/watch?v=4Uo8xZKgYy4&amp;t=13s", "Go to time")</f>
        <v/>
      </c>
    </row>
    <row r="4697">
      <c r="A4697">
        <f>HYPERLINK("https://www.youtube.com/watch?v=jT11ZSmm1VY", "Video")</f>
        <v/>
      </c>
      <c r="B4697" t="inlineStr">
        <is>
          <t>0:24</t>
        </is>
      </c>
      <c r="C4697" t="inlineStr">
        <is>
          <t>driver and we've brought all of our</t>
        </is>
      </c>
      <c r="D4697">
        <f>HYPERLINK("https://www.youtube.com/watch?v=jT11ZSmm1VY&amp;t=24s", "Go to time")</f>
        <v/>
      </c>
    </row>
    <row r="4698">
      <c r="A4698">
        <f>HYPERLINK("https://www.youtube.com/watch?v=GIR7faha5xM", "Video")</f>
        <v/>
      </c>
      <c r="B4698" t="inlineStr">
        <is>
          <t>2:04</t>
        </is>
      </c>
      <c r="C4698" t="inlineStr">
        <is>
          <t>all-wheel drive it's got massive Meats</t>
        </is>
      </c>
      <c r="D4698">
        <f>HYPERLINK("https://www.youtube.com/watch?v=GIR7faha5xM&amp;t=124s", "Go to time")</f>
        <v/>
      </c>
    </row>
    <row r="4699">
      <c r="A4699">
        <f>HYPERLINK("https://www.youtube.com/watch?v=GIR7faha5xM", "Video")</f>
        <v/>
      </c>
      <c r="B4699" t="inlineStr">
        <is>
          <t>2:25</t>
        </is>
      </c>
      <c r="C4699" t="inlineStr">
        <is>
          <t>they drive so uh if this is you well</t>
        </is>
      </c>
      <c r="D4699">
        <f>HYPERLINK("https://www.youtube.com/watch?v=GIR7faha5xM&amp;t=145s", "Go to time")</f>
        <v/>
      </c>
    </row>
    <row r="4700">
      <c r="A4700">
        <f>HYPERLINK("https://www.youtube.com/watch?v=HclcA4I_RFc", "Video")</f>
        <v/>
      </c>
      <c r="B4700" t="inlineStr">
        <is>
          <t>0:56</t>
        </is>
      </c>
      <c r="C4700" t="inlineStr">
        <is>
          <t>driven now to take it for a spin I hop</t>
        </is>
      </c>
      <c r="D4700">
        <f>HYPERLINK("https://www.youtube.com/watch?v=HclcA4I_RFc&amp;t=56s", "Go to time")</f>
        <v/>
      </c>
    </row>
    <row r="4701">
      <c r="A4701">
        <f>HYPERLINK("https://www.youtube.com/watch?v=dVuCbSSW2os", "Video")</f>
        <v/>
      </c>
      <c r="B4701" t="inlineStr">
        <is>
          <t>1:00</t>
        </is>
      </c>
      <c r="C4701" t="inlineStr">
        <is>
          <t>beautiful vehicle I driven the vehicle</t>
        </is>
      </c>
      <c r="D4701">
        <f>HYPERLINK("https://www.youtube.com/watch?v=dVuCbSSW2os&amp;t=60s", "Go to time")</f>
        <v/>
      </c>
    </row>
    <row r="4702">
      <c r="A4702">
        <f>HYPERLINK("https://www.youtube.com/watch?v=EEGOiFFZ3-g", "Video")</f>
        <v/>
      </c>
      <c r="B4702" t="inlineStr">
        <is>
          <t>0:42</t>
        </is>
      </c>
      <c r="C4702" t="inlineStr">
        <is>
          <t>brave test driver for the event in</t>
        </is>
      </c>
      <c r="D4702">
        <f>HYPERLINK("https://www.youtube.com/watch?v=EEGOiFFZ3-g&amp;t=42s", "Go to time")</f>
        <v/>
      </c>
    </row>
    <row r="4703">
      <c r="A4703">
        <f>HYPERLINK("https://www.youtube.com/watch?v=lFAYq4KYa2s", "Video")</f>
        <v/>
      </c>
      <c r="B4703" t="inlineStr">
        <is>
          <t>0:06</t>
        </is>
      </c>
      <c r="C4703" t="inlineStr">
        <is>
          <t>what brand you drive well wsj rumble</t>
        </is>
      </c>
      <c r="D4703">
        <f>HYPERLINK("https://www.youtube.com/watch?v=lFAYq4KYa2s&amp;t=6s", "Go to time")</f>
        <v/>
      </c>
    </row>
    <row r="4704">
      <c r="A4704">
        <f>HYPERLINK("https://www.youtube.com/watch?v=lFAYq4KYa2s", "Video")</f>
        <v/>
      </c>
      <c r="B4704" t="inlineStr">
        <is>
          <t>1:46</t>
        </is>
      </c>
      <c r="C4704" t="inlineStr">
        <is>
          <t>gratify American drivers like power</t>
        </is>
      </c>
      <c r="D4704">
        <f>HYPERLINK("https://www.youtube.com/watch?v=lFAYq4KYa2s&amp;t=106s", "Go to time")</f>
        <v/>
      </c>
    </row>
    <row r="4705">
      <c r="A4705">
        <f>HYPERLINK("https://www.youtube.com/watch?v=lFAYq4KYa2s", "Video")</f>
        <v/>
      </c>
      <c r="B4705" t="inlineStr">
        <is>
          <t>3:01</t>
        </is>
      </c>
      <c r="C4705" t="inlineStr">
        <is>
          <t>go drive it to bur that's right drive it</t>
        </is>
      </c>
      <c r="D4705">
        <f>HYPERLINK("https://www.youtube.com/watch?v=lFAYq4KYa2s&amp;t=181s", "Go to time")</f>
        <v/>
      </c>
    </row>
    <row r="4706">
      <c r="A4706">
        <f>HYPERLINK("https://www.youtube.com/watch?v=dbwUud-UzKA", "Video")</f>
        <v/>
      </c>
      <c r="B4706" t="inlineStr">
        <is>
          <t>0:23</t>
        </is>
      </c>
      <c r="C4706" t="inlineStr">
        <is>
          <t>driverless vehicles began popping up on</t>
        </is>
      </c>
      <c r="D4706">
        <f>HYPERLINK("https://www.youtube.com/watch?v=dbwUud-UzKA&amp;t=23s", "Go to time")</f>
        <v/>
      </c>
    </row>
    <row r="4707">
      <c r="A4707">
        <f>HYPERLINK("https://www.youtube.com/watch?v=dbwUud-UzKA", "Video")</f>
        <v/>
      </c>
      <c r="B4707" t="inlineStr">
        <is>
          <t>2:00</t>
        </is>
      </c>
      <c r="C4707" t="inlineStr">
        <is>
          <t>but it's not just the cars we drive that</t>
        </is>
      </c>
      <c r="D4707">
        <f>HYPERLINK("https://www.youtube.com/watch?v=dbwUud-UzKA&amp;t=120s", "Go to time")</f>
        <v/>
      </c>
    </row>
    <row r="4708">
      <c r="A4708">
        <f>HYPERLINK("https://www.youtube.com/watch?v=dbwUud-UzKA", "Video")</f>
        <v/>
      </c>
      <c r="B4708" t="inlineStr">
        <is>
          <t>2:04</t>
        </is>
      </c>
      <c r="C4708" t="inlineStr">
        <is>
          <t>driverless car companies have big plans</t>
        </is>
      </c>
      <c r="D4708">
        <f>HYPERLINK("https://www.youtube.com/watch?v=dbwUud-UzKA&amp;t=124s", "Go to time")</f>
        <v/>
      </c>
    </row>
    <row r="4709">
      <c r="A4709">
        <f>HYPERLINK("https://www.youtube.com/watch?v=dbwUud-UzKA", "Video")</f>
        <v/>
      </c>
      <c r="B4709" t="inlineStr">
        <is>
          <t>2:13</t>
        </is>
      </c>
      <c r="C4709" t="inlineStr">
        <is>
          <t>able to remove the support drivers from</t>
        </is>
      </c>
      <c r="D4709">
        <f>HYPERLINK("https://www.youtube.com/watch?v=dbwUud-UzKA&amp;t=133s", "Go to time")</f>
        <v/>
      </c>
    </row>
    <row r="4710">
      <c r="A4710">
        <f>HYPERLINK("https://www.youtube.com/watch?v=dbwUud-UzKA", "Video")</f>
        <v/>
      </c>
      <c r="B4710" t="inlineStr">
        <is>
          <t>2:26</t>
        </is>
      </c>
      <c r="C4710" t="inlineStr">
        <is>
          <t>driver assistance platforms one</t>
        </is>
      </c>
      <c r="D4710">
        <f>HYPERLINK("https://www.youtube.com/watch?v=dbwUud-UzKA&amp;t=146s", "Go to time")</f>
        <v/>
      </c>
    </row>
    <row r="4711">
      <c r="A4711">
        <f>HYPERLINK("https://www.youtube.com/watch?v=dbwUud-UzKA", "Video")</f>
        <v/>
      </c>
      <c r="B4711" t="inlineStr">
        <is>
          <t>2:36</t>
        </is>
      </c>
      <c r="C4711" t="inlineStr">
        <is>
          <t>out its level 3 autonomous drive pilot</t>
        </is>
      </c>
      <c r="D4711">
        <f>HYPERLINK("https://www.youtube.com/watch?v=dbwUud-UzKA&amp;t=156s", "Go to time")</f>
        <v/>
      </c>
    </row>
    <row r="4712">
      <c r="A4712">
        <f>HYPERLINK("https://www.youtube.com/watch?v=dbwUud-UzKA", "Video")</f>
        <v/>
      </c>
      <c r="B4712" t="inlineStr">
        <is>
          <t>2:53</t>
        </is>
      </c>
      <c r="C4712" t="inlineStr">
        <is>
          <t>autonomy where a driver needs to pay</t>
        </is>
      </c>
      <c r="D4712">
        <f>HYPERLINK("https://www.youtube.com/watch?v=dbwUud-UzKA&amp;t=173s", "Go to time")</f>
        <v/>
      </c>
    </row>
    <row r="4713">
      <c r="A4713">
        <f>HYPERLINK("https://www.youtube.com/watch?v=xEth1_trm5k", "Video")</f>
        <v/>
      </c>
      <c r="B4713" t="inlineStr">
        <is>
          <t>0:52</t>
        </is>
      </c>
      <c r="C4713" t="inlineStr">
        <is>
          <t>driven its growth for decades</t>
        </is>
      </c>
      <c r="D4713">
        <f>HYPERLINK("https://www.youtube.com/watch?v=xEth1_trm5k&amp;t=52s", "Go to time")</f>
        <v/>
      </c>
    </row>
    <row r="4714">
      <c r="A4714">
        <f>HYPERLINK("https://www.youtube.com/watch?v=Xf7h_ApFnWs", "Video")</f>
        <v/>
      </c>
      <c r="B4714" t="inlineStr">
        <is>
          <t>0:08</t>
        </is>
      </c>
      <c r="C4714" t="inlineStr">
        <is>
          <t>driver seat billionaire John Malone has</t>
        </is>
      </c>
      <c r="D4714">
        <f>HYPERLINK("https://www.youtube.com/watch?v=Xf7h_ApFnWs&amp;t=8s", "Go to time")</f>
        <v/>
      </c>
    </row>
    <row r="4715">
      <c r="A4715">
        <f>HYPERLINK("https://www.youtube.com/watch?v=eGVgiXQCdG8", "Video")</f>
        <v/>
      </c>
      <c r="B4715" t="inlineStr">
        <is>
          <t>1:04</t>
        </is>
      </c>
      <c r="C4715" t="inlineStr">
        <is>
          <t>then the robot should drive approach by</t>
        </is>
      </c>
      <c r="D4715">
        <f>HYPERLINK("https://www.youtube.com/watch?v=eGVgiXQCdG8&amp;t=64s", "Go to time")</f>
        <v/>
      </c>
    </row>
    <row r="4716">
      <c r="A4716">
        <f>HYPERLINK("https://www.youtube.com/watch?v=eGVgiXQCdG8", "Video")</f>
        <v/>
      </c>
      <c r="B4716" t="inlineStr">
        <is>
          <t>1:40</t>
        </is>
      </c>
      <c r="C4716" t="inlineStr">
        <is>
          <t>so he can drive sometimes he can pick</t>
        </is>
      </c>
      <c r="D4716">
        <f>HYPERLINK("https://www.youtube.com/watch?v=eGVgiXQCdG8&amp;t=100s", "Go to time")</f>
        <v/>
      </c>
    </row>
    <row r="4717">
      <c r="A4717">
        <f>HYPERLINK("https://www.youtube.com/watch?v=ZUX8Aro22i4", "Video")</f>
        <v/>
      </c>
      <c r="B4717" t="inlineStr">
        <is>
          <t>3:47</t>
        </is>
      </c>
      <c r="C4717" t="inlineStr">
        <is>
          <t>driver shows up and there are thousands</t>
        </is>
      </c>
      <c r="D4717">
        <f>HYPERLINK("https://www.youtube.com/watch?v=ZUX8Aro22i4&amp;t=227s", "Go to time")</f>
        <v/>
      </c>
    </row>
    <row r="4718">
      <c r="A4718">
        <f>HYPERLINK("https://www.youtube.com/watch?v=hsLNV8iOyew", "Video")</f>
        <v/>
      </c>
      <c r="B4718" t="inlineStr">
        <is>
          <t>3:04</t>
        </is>
      </c>
      <c r="C4718" t="inlineStr">
        <is>
          <t>a drive to unionize an Amazon
warehouse in Alabama failed</t>
        </is>
      </c>
      <c r="D4718">
        <f>HYPERLINK("https://www.youtube.com/watch?v=hsLNV8iOyew&amp;t=184s", "Go to time")</f>
        <v/>
      </c>
    </row>
    <row r="4719">
      <c r="A4719">
        <f>HYPERLINK("https://www.youtube.com/watch?v=hsLNV8iOyew", "Video")</f>
        <v/>
      </c>
      <c r="B4719" t="inlineStr">
        <is>
          <t>3:12</t>
        </is>
      </c>
      <c r="C4719" t="inlineStr">
        <is>
          <t>Two closely watched
upcoming unionization drives</t>
        </is>
      </c>
      <c r="D4719">
        <f>HYPERLINK("https://www.youtube.com/watch?v=hsLNV8iOyew&amp;t=192s", "Go to time")</f>
        <v/>
      </c>
    </row>
    <row r="4720">
      <c r="A4720">
        <f>HYPERLINK("https://www.youtube.com/watch?v=hsLNV8iOyew", "Video")</f>
        <v/>
      </c>
      <c r="B4720" t="inlineStr">
        <is>
          <t>5:09</t>
        </is>
      </c>
      <c r="C4720" t="inlineStr">
        <is>
          <t>whether organizing drives or strikes</t>
        </is>
      </c>
      <c r="D4720">
        <f>HYPERLINK("https://www.youtube.com/watch?v=hsLNV8iOyew&amp;t=309s", "Go to time")</f>
        <v/>
      </c>
    </row>
    <row r="4721">
      <c r="A4721">
        <f>HYPERLINK("https://www.youtube.com/watch?v=iEtCgny8VlM", "Video")</f>
        <v/>
      </c>
      <c r="B4721" t="inlineStr">
        <is>
          <t>1:40</t>
        </is>
      </c>
      <c r="C4721" t="inlineStr">
        <is>
          <t>prices no this is a way to drive pricing</t>
        </is>
      </c>
      <c r="D4721">
        <f>HYPERLINK("https://www.youtube.com/watch?v=iEtCgny8VlM&amp;t=100s", "Go to time")</f>
        <v/>
      </c>
    </row>
    <row r="4722">
      <c r="A4722">
        <f>HYPERLINK("https://www.youtube.com/watch?v=OAFc_CA2YQg", "Video")</f>
        <v/>
      </c>
      <c r="B4722" t="inlineStr">
        <is>
          <t>0:39</t>
        </is>
      </c>
      <c r="C4722" t="inlineStr">
        <is>
          <t>You may fly. You may drive.</t>
        </is>
      </c>
      <c r="D4722">
        <f>HYPERLINK("https://www.youtube.com/watch?v=OAFc_CA2YQg&amp;t=39s", "Go to time")</f>
        <v/>
      </c>
    </row>
    <row r="4723">
      <c r="A4723">
        <f>HYPERLINK("https://www.youtube.com/watch?v=OhJzIy30qvw", "Video")</f>
        <v/>
      </c>
      <c r="B4723" t="inlineStr">
        <is>
          <t>1:50</t>
        </is>
      </c>
      <c r="C4723" t="inlineStr">
        <is>
          <t>say becomes the issue driver of that</t>
        </is>
      </c>
      <c r="D4723">
        <f>HYPERLINK("https://www.youtube.com/watch?v=OhJzIy30qvw&amp;t=110s", "Go to time")</f>
        <v/>
      </c>
    </row>
    <row r="4724">
      <c r="A4724">
        <f>HYPERLINK("https://www.youtube.com/watch?v=llYWVrlX2ZY", "Video")</f>
        <v/>
      </c>
      <c r="B4724" t="inlineStr">
        <is>
          <t>0:09</t>
        </is>
      </c>
      <c r="C4724" t="inlineStr">
        <is>
          <t>Oklahoma an allegedly intoxicated driver</t>
        </is>
      </c>
      <c r="D4724">
        <f>HYPERLINK("https://www.youtube.com/watch?v=llYWVrlX2ZY&amp;t=9s", "Go to time")</f>
        <v/>
      </c>
    </row>
    <row r="4725">
      <c r="A4725">
        <f>HYPERLINK("https://www.youtube.com/watch?v=llYWVrlX2ZY", "Video")</f>
        <v/>
      </c>
      <c r="B4725" t="inlineStr">
        <is>
          <t>0:17</t>
        </is>
      </c>
      <c r="C4725" t="inlineStr">
        <is>
          <t>driver as 25-year-old adasia Chambers</t>
        </is>
      </c>
      <c r="D4725">
        <f>HYPERLINK("https://www.youtube.com/watch?v=llYWVrlX2ZY&amp;t=17s", "Go to time")</f>
        <v/>
      </c>
    </row>
    <row r="4726">
      <c r="A4726">
        <f>HYPERLINK("https://www.youtube.com/watch?v=QRiD9RS3lhQ", "Video")</f>
        <v/>
      </c>
      <c r="B4726" t="inlineStr">
        <is>
          <t>2:55</t>
        </is>
      </c>
      <c r="C4726" t="inlineStr">
        <is>
          <t>up driverless cars yes it seems like</t>
        </is>
      </c>
      <c r="D4726">
        <f>HYPERLINK("https://www.youtube.com/watch?v=QRiD9RS3lhQ&amp;t=175s", "Go to time")</f>
        <v/>
      </c>
    </row>
    <row r="4727">
      <c r="A4727">
        <f>HYPERLINK("https://www.youtube.com/watch?v=QRiD9RS3lhQ", "Video")</f>
        <v/>
      </c>
      <c r="B4727" t="inlineStr">
        <is>
          <t>4:09</t>
        </is>
      </c>
      <c r="C4727" t="inlineStr">
        <is>
          <t>of those is driverless cars so whatever</t>
        </is>
      </c>
      <c r="D4727">
        <f>HYPERLINK("https://www.youtube.com/watch?v=QRiD9RS3lhQ&amp;t=249s", "Go to time")</f>
        <v/>
      </c>
    </row>
    <row r="4728">
      <c r="A4728">
        <f>HYPERLINK("https://www.youtube.com/watch?v=QRiD9RS3lhQ", "Video")</f>
        <v/>
      </c>
      <c r="B4728" t="inlineStr">
        <is>
          <t>4:18</t>
        </is>
      </c>
      <c r="C4728" t="inlineStr">
        <is>
          <t>feature of driver lism or autonomous um</t>
        </is>
      </c>
      <c r="D4728">
        <f>HYPERLINK("https://www.youtube.com/watch?v=QRiD9RS3lhQ&amp;t=258s", "Go to time")</f>
        <v/>
      </c>
    </row>
    <row r="4729">
      <c r="A4729">
        <f>HYPERLINK("https://www.youtube.com/watch?v=QRiD9RS3lhQ", "Video")</f>
        <v/>
      </c>
      <c r="B4729" t="inlineStr">
        <is>
          <t>4:26</t>
        </is>
      </c>
      <c r="C4729" t="inlineStr">
        <is>
          <t>just for the driver to have more of a</t>
        </is>
      </c>
      <c r="D4729">
        <f>HYPERLINK("https://www.youtube.com/watch?v=QRiD9RS3lhQ&amp;t=266s", "Go to time")</f>
        <v/>
      </c>
    </row>
    <row r="4730">
      <c r="A4730">
        <f>HYPERLINK("https://www.youtube.com/watch?v=QRiD9RS3lhQ", "Video")</f>
        <v/>
      </c>
      <c r="B4730" t="inlineStr">
        <is>
          <t>4:47</t>
        </is>
      </c>
      <c r="C4730" t="inlineStr">
        <is>
          <t>driverless car hubs like think of like</t>
        </is>
      </c>
      <c r="D4730">
        <f>HYPERLINK("https://www.youtube.com/watch?v=QRiD9RS3lhQ&amp;t=287s", "Go to time")</f>
        <v/>
      </c>
    </row>
    <row r="4731">
      <c r="A4731">
        <f>HYPERLINK("https://www.youtube.com/watch?v=9QAoQuF2DFA", "Video")</f>
        <v/>
      </c>
      <c r="B4731" t="inlineStr">
        <is>
          <t>1:50</t>
        </is>
      </c>
      <c r="C4731" t="inlineStr">
        <is>
          <t>is kind of like getting a bigger driveway</t>
        </is>
      </c>
      <c r="D4731">
        <f>HYPERLINK("https://www.youtube.com/watch?v=9QAoQuF2DFA&amp;t=110s", "Go to time")</f>
        <v/>
      </c>
    </row>
    <row r="4732">
      <c r="A4732">
        <f>HYPERLINK("https://www.youtube.com/watch?v=dmgFP0qteBU", "Video")</f>
        <v/>
      </c>
      <c r="B4732" t="inlineStr">
        <is>
          <t>2:54</t>
        </is>
      </c>
      <c r="C4732" t="inlineStr">
        <is>
          <t>will drive their decisions
on how much to charge.</t>
        </is>
      </c>
      <c r="D4732">
        <f>HYPERLINK("https://www.youtube.com/watch?v=dmgFP0qteBU&amp;t=174s", "Go to time")</f>
        <v/>
      </c>
    </row>
    <row r="4733">
      <c r="A4733">
        <f>HYPERLINK("https://www.youtube.com/watch?v=nOCXtI_xoBQ", "Video")</f>
        <v/>
      </c>
      <c r="B4733" t="inlineStr">
        <is>
          <t>0:52</t>
        </is>
      </c>
      <c r="C4733" t="inlineStr">
        <is>
          <t>solutions is a big driver for us right</t>
        </is>
      </c>
      <c r="D4733">
        <f>HYPERLINK("https://www.youtube.com/watch?v=nOCXtI_xoBQ&amp;t=52s", "Go to time")</f>
        <v/>
      </c>
    </row>
    <row r="4734">
      <c r="A4734">
        <f>HYPERLINK("https://www.youtube.com/watch?v=uXA0AkcrNoo", "Video")</f>
        <v/>
      </c>
      <c r="B4734" t="inlineStr">
        <is>
          <t>2:59</t>
        </is>
      </c>
      <c r="C4734" t="inlineStr">
        <is>
          <t>which is really just a
tent, and drive the vehicle</t>
        </is>
      </c>
      <c r="D4734">
        <f>HYPERLINK("https://www.youtube.com/watch?v=uXA0AkcrNoo&amp;t=179s", "Go to time")</f>
        <v/>
      </c>
    </row>
    <row r="4735">
      <c r="A4735">
        <f>HYPERLINK("https://www.youtube.com/watch?v=zenFon-QVso", "Video")</f>
        <v/>
      </c>
      <c r="B4735" t="inlineStr">
        <is>
          <t>0:13</t>
        </is>
      </c>
      <c r="C4735" t="inlineStr">
        <is>
          <t>women are not allowed to drive and</t>
        </is>
      </c>
      <c r="D4735">
        <f>HYPERLINK("https://www.youtube.com/watch?v=zenFon-QVso&amp;t=13s", "Go to time")</f>
        <v/>
      </c>
    </row>
    <row r="4736">
      <c r="A4736">
        <f>HYPERLINK("https://www.youtube.com/watch?v=LaGQNPrcT6U", "Video")</f>
        <v/>
      </c>
      <c r="B4736" t="inlineStr">
        <is>
          <t>1:20</t>
        </is>
      </c>
      <c r="C4736" t="inlineStr">
        <is>
          <t>driver private information the threat of</t>
        </is>
      </c>
      <c r="D4736">
        <f>HYPERLINK("https://www.youtube.com/watch?v=LaGQNPrcT6U&amp;t=80s", "Go to time")</f>
        <v/>
      </c>
    </row>
    <row r="4737">
      <c r="A4737">
        <f>HYPERLINK("https://www.youtube.com/watch?v=FHRSw451BcA", "Video")</f>
        <v/>
      </c>
      <c r="B4737" t="inlineStr">
        <is>
          <t>0:43</t>
        </is>
      </c>
      <c r="C4737" t="inlineStr">
        <is>
          <t>Windows drivers</t>
        </is>
      </c>
      <c r="D4737">
        <f>HYPERLINK("https://www.youtube.com/watch?v=FHRSw451BcA&amp;t=43s", "Go to time")</f>
        <v/>
      </c>
    </row>
    <row r="4738">
      <c r="A4738">
        <f>HYPERLINK("https://www.youtube.com/watch?v=Y1rOHiXaADg", "Video")</f>
        <v/>
      </c>
      <c r="B4738" t="inlineStr">
        <is>
          <t>0:09</t>
        </is>
      </c>
      <c r="C4738" t="inlineStr">
        <is>
          <t>a 2-hour drive from Toronto the most</t>
        </is>
      </c>
      <c r="D4738">
        <f>HYPERLINK("https://www.youtube.com/watch?v=Y1rOHiXaADg&amp;t=9s", "Go to time")</f>
        <v/>
      </c>
    </row>
    <row r="4739">
      <c r="A4739">
        <f>HYPERLINK("https://www.youtube.com/watch?v=yXf-xcR8bdA", "Video")</f>
        <v/>
      </c>
      <c r="B4739" t="inlineStr">
        <is>
          <t>2:32</t>
        </is>
      </c>
      <c r="C4739" t="inlineStr">
        <is>
          <t>of spiritual and social life
that drives people to suicide.</t>
        </is>
      </c>
      <c r="D4739">
        <f>HYPERLINK("https://www.youtube.com/watch?v=yXf-xcR8bdA&amp;t=152s", "Go to time")</f>
        <v/>
      </c>
    </row>
    <row r="4740">
      <c r="A4740">
        <f>HYPERLINK("https://www.youtube.com/watch?v=7q6CipZWE6w", "Video")</f>
        <v/>
      </c>
      <c r="B4740" t="inlineStr">
        <is>
          <t>4:42</t>
        </is>
      </c>
      <c r="C4740" t="inlineStr">
        <is>
          <t>driveway Pockets but the dryers are 300</t>
        </is>
      </c>
      <c r="D4740">
        <f>HYPERLINK("https://www.youtube.com/watch?v=7q6CipZWE6w&amp;t=282s", "Go to time")</f>
        <v/>
      </c>
    </row>
    <row r="4741">
      <c r="A4741">
        <f>HYPERLINK("https://www.youtube.com/watch?v=q-jP4vh3z_A", "Video")</f>
        <v/>
      </c>
      <c r="B4741" t="inlineStr">
        <is>
          <t>3:57</t>
        </is>
      </c>
      <c r="C4741" t="inlineStr">
        <is>
          <t>- I'm too old to drive.</t>
        </is>
      </c>
      <c r="D4741">
        <f>HYPERLINK("https://www.youtube.com/watch?v=q-jP4vh3z_A&amp;t=237s", "Go to time")</f>
        <v/>
      </c>
    </row>
    <row r="4742">
      <c r="A4742">
        <f>HYPERLINK("https://www.youtube.com/watch?v=S7IHXJeNAD4", "Video")</f>
        <v/>
      </c>
      <c r="B4742" t="inlineStr">
        <is>
          <t>3:50</t>
        </is>
      </c>
      <c r="C4742" t="inlineStr">
        <is>
          <t>drive to one more event at a supporters</t>
        </is>
      </c>
      <c r="D4742">
        <f>HYPERLINK("https://www.youtube.com/watch?v=S7IHXJeNAD4&amp;t=230s", "Go to time")</f>
        <v/>
      </c>
    </row>
    <row r="4743">
      <c r="A4743">
        <f>HYPERLINK("https://www.youtube.com/watch?v=aIvi4cfkwW4", "Video")</f>
        <v/>
      </c>
      <c r="B4743" t="inlineStr">
        <is>
          <t>0:41</t>
        </is>
      </c>
      <c r="C4743" t="inlineStr">
        <is>
          <t>drive right in through a secure gate um</t>
        </is>
      </c>
      <c r="D4743">
        <f>HYPERLINK("https://www.youtube.com/watch?v=aIvi4cfkwW4&amp;t=41s", "Go to time")</f>
        <v/>
      </c>
    </row>
    <row r="4744">
      <c r="A4744">
        <f>HYPERLINK("https://www.youtube.com/watch?v=aIvi4cfkwW4", "Video")</f>
        <v/>
      </c>
      <c r="B4744" t="inlineStr">
        <is>
          <t>0:59</t>
        </is>
      </c>
      <c r="C4744" t="inlineStr">
        <is>
          <t>you're driven right to the plane and and</t>
        </is>
      </c>
      <c r="D4744">
        <f>HYPERLINK("https://www.youtube.com/watch?v=aIvi4cfkwW4&amp;t=59s", "Go to time")</f>
        <v/>
      </c>
    </row>
    <row r="4745">
      <c r="A4745">
        <f>HYPERLINK("https://www.youtube.com/watch?v=aIvi4cfkwW4", "Video")</f>
        <v/>
      </c>
      <c r="B4745" t="inlineStr">
        <is>
          <t>2:08</t>
        </is>
      </c>
      <c r="C4745" t="inlineStr">
        <is>
          <t>facility you drive them right up to</t>
        </is>
      </c>
      <c r="D4745">
        <f>HYPERLINK("https://www.youtube.com/watch?v=aIvi4cfkwW4&amp;t=128s", "Go to time")</f>
        <v/>
      </c>
    </row>
    <row r="4746">
      <c r="A4746">
        <f>HYPERLINK("https://www.youtube.com/watch?v=advdgQP4mVU", "Video")</f>
        <v/>
      </c>
      <c r="B4746" t="inlineStr">
        <is>
          <t>0:14</t>
        </is>
      </c>
      <c r="C4746" t="inlineStr">
        <is>
          <t>drives nearly 2third of macau's $45</t>
        </is>
      </c>
      <c r="D4746">
        <f>HYPERLINK("https://www.youtube.com/watch?v=advdgQP4mVU&amp;t=14s", "Go to time")</f>
        <v/>
      </c>
    </row>
    <row r="4747">
      <c r="A4747">
        <f>HYPERLINK("https://www.youtube.com/watch?v=advdgQP4mVU", "Video")</f>
        <v/>
      </c>
      <c r="B4747" t="inlineStr">
        <is>
          <t>2:21</t>
        </is>
      </c>
      <c r="C4747" t="inlineStr">
        <is>
          <t>earnings while I mean the real driver</t>
        </is>
      </c>
      <c r="D4747">
        <f>HYPERLINK("https://www.youtube.com/watch?v=advdgQP4mVU&amp;t=141s", "Go to time")</f>
        <v/>
      </c>
    </row>
    <row r="4748">
      <c r="A4748">
        <f>HYPERLINK("https://www.youtube.com/watch?v=k59VG4Vmfuk", "Video")</f>
        <v/>
      </c>
      <c r="B4748" t="inlineStr">
        <is>
          <t>1:45</t>
        </is>
      </c>
      <c r="C4748" t="inlineStr">
        <is>
          <t>which has driven up
the cost of many goods.</t>
        </is>
      </c>
      <c r="D4748">
        <f>HYPERLINK("https://www.youtube.com/watch?v=k59VG4Vmfuk&amp;t=105s", "Go to time")</f>
        <v/>
      </c>
    </row>
    <row r="4749">
      <c r="A4749">
        <f>HYPERLINK("https://www.youtube.com/watch?v=F_uSmKTa0iI", "Video")</f>
        <v/>
      </c>
      <c r="B4749" t="inlineStr">
        <is>
          <t>1:04</t>
        </is>
      </c>
      <c r="C4749" t="inlineStr">
        <is>
          <t>'cause there is that shortage of drivers</t>
        </is>
      </c>
      <c r="D4749">
        <f>HYPERLINK("https://www.youtube.com/watch?v=F_uSmKTa0iI&amp;t=64s", "Go to time")</f>
        <v/>
      </c>
    </row>
    <row r="4750">
      <c r="A4750">
        <f>HYPERLINK("https://www.youtube.com/watch?v=F_uSmKTa0iI", "Video")</f>
        <v/>
      </c>
      <c r="B4750" t="inlineStr">
        <is>
          <t>1:07</t>
        </is>
      </c>
      <c r="C4750" t="inlineStr">
        <is>
          <t>- [Narrator] Harry Campbell,
an Uber and Lyft driver</t>
        </is>
      </c>
      <c r="D4750">
        <f>HYPERLINK("https://www.youtube.com/watch?v=F_uSmKTa0iI&amp;t=67s", "Go to time")</f>
        <v/>
      </c>
    </row>
    <row r="4751">
      <c r="A4751">
        <f>HYPERLINK("https://www.youtube.com/watch?v=F_uSmKTa0iI", "Video")</f>
        <v/>
      </c>
      <c r="B4751" t="inlineStr">
        <is>
          <t>1:11</t>
        </is>
      </c>
      <c r="C4751" t="inlineStr">
        <is>
          <t>- Drivers, like many others,</t>
        </is>
      </c>
      <c r="D4751">
        <f>HYPERLINK("https://www.youtube.com/watch?v=F_uSmKTa0iI&amp;t=71s", "Go to time")</f>
        <v/>
      </c>
    </row>
    <row r="4752">
      <c r="A4752">
        <f>HYPERLINK("https://www.youtube.com/watch?v=F_uSmKTa0iI", "Video")</f>
        <v/>
      </c>
      <c r="B4752" t="inlineStr">
        <is>
          <t>1:31</t>
        </is>
      </c>
      <c r="C4752" t="inlineStr">
        <is>
          <t>than the supply of drivers,</t>
        </is>
      </c>
      <c r="D4752">
        <f>HYPERLINK("https://www.youtube.com/watch?v=F_uSmKTa0iI&amp;t=91s", "Go to time")</f>
        <v/>
      </c>
    </row>
    <row r="4753">
      <c r="A4753">
        <f>HYPERLINK("https://www.youtube.com/watch?v=F_uSmKTa0iI", "Video")</f>
        <v/>
      </c>
      <c r="B4753" t="inlineStr">
        <is>
          <t>1:42</t>
        </is>
      </c>
      <c r="C4753" t="inlineStr">
        <is>
          <t>why drivers haven't come
back to Uber and Lyft,</t>
        </is>
      </c>
      <c r="D4753">
        <f>HYPERLINK("https://www.youtube.com/watch?v=F_uSmKTa0iI&amp;t=102s", "Go to time")</f>
        <v/>
      </c>
    </row>
    <row r="4754">
      <c r="A4754">
        <f>HYPERLINK("https://www.youtube.com/watch?v=F_uSmKTa0iI", "Video")</f>
        <v/>
      </c>
      <c r="B4754" t="inlineStr">
        <is>
          <t>1:54</t>
        </is>
      </c>
      <c r="C4754" t="inlineStr">
        <is>
          <t>Uber and Lyft are seeing drivers return,</t>
        </is>
      </c>
      <c r="D4754">
        <f>HYPERLINK("https://www.youtube.com/watch?v=F_uSmKTa0iI&amp;t=114s", "Go to time")</f>
        <v/>
      </c>
    </row>
    <row r="4755">
      <c r="A4755">
        <f>HYPERLINK("https://www.youtube.com/watch?v=F_uSmKTa0iI", "Video")</f>
        <v/>
      </c>
      <c r="B4755" t="inlineStr">
        <is>
          <t>2:12</t>
        </is>
      </c>
      <c r="C4755" t="inlineStr">
        <is>
          <t>because drivers haven't returned.</t>
        </is>
      </c>
      <c r="D4755">
        <f>HYPERLINK("https://www.youtube.com/watch?v=F_uSmKTa0iI&amp;t=132s", "Go to time")</f>
        <v/>
      </c>
    </row>
    <row r="4756">
      <c r="A4756">
        <f>HYPERLINK("https://www.youtube.com/watch?v=F_uSmKTa0iI", "Video")</f>
        <v/>
      </c>
      <c r="B4756" t="inlineStr">
        <is>
          <t>2:13</t>
        </is>
      </c>
      <c r="C4756" t="inlineStr">
        <is>
          <t>- [Narrator] Uber said 90% of
the 90,000 inactive drivers</t>
        </is>
      </c>
      <c r="D4756">
        <f>HYPERLINK("https://www.youtube.com/watch?v=F_uSmKTa0iI&amp;t=133s", "Go to time")</f>
        <v/>
      </c>
    </row>
    <row r="4757">
      <c r="A4757">
        <f>HYPERLINK("https://www.youtube.com/watch?v=F_uSmKTa0iI", "Video")</f>
        <v/>
      </c>
      <c r="B4757" t="inlineStr">
        <is>
          <t>2:27</t>
        </is>
      </c>
      <c r="C4757" t="inlineStr">
        <is>
          <t>for drivers amongst themselves,</t>
        </is>
      </c>
      <c r="D4757">
        <f>HYPERLINK("https://www.youtube.com/watch?v=F_uSmKTa0iI&amp;t=147s", "Go to time")</f>
        <v/>
      </c>
    </row>
    <row r="4758">
      <c r="A4758">
        <f>HYPERLINK("https://www.youtube.com/watch?v=F_uSmKTa0iI", "Video")</f>
        <v/>
      </c>
      <c r="B4758" t="inlineStr">
        <is>
          <t>2:31</t>
        </is>
      </c>
      <c r="C4758" t="inlineStr">
        <is>
          <t>which drivers say offer
safer work conditions.</t>
        </is>
      </c>
      <c r="D4758">
        <f>HYPERLINK("https://www.youtube.com/watch?v=F_uSmKTa0iI&amp;t=151s", "Go to time")</f>
        <v/>
      </c>
    </row>
    <row r="4759">
      <c r="A4759">
        <f>HYPERLINK("https://www.youtube.com/watch?v=F_uSmKTa0iI", "Video")</f>
        <v/>
      </c>
      <c r="B4759" t="inlineStr">
        <is>
          <t>2:58</t>
        </is>
      </c>
      <c r="C4759" t="inlineStr">
        <is>
          <t>both Uber and Lyft
increased driver bonuses</t>
        </is>
      </c>
      <c r="D4759">
        <f>HYPERLINK("https://www.youtube.com/watch?v=F_uSmKTa0iI&amp;t=178s", "Go to time")</f>
        <v/>
      </c>
    </row>
    <row r="4760">
      <c r="A4760">
        <f>HYPERLINK("https://www.youtube.com/watch?v=F_uSmKTa0iI", "Video")</f>
        <v/>
      </c>
      <c r="B4760" t="inlineStr">
        <is>
          <t>3:02</t>
        </is>
      </c>
      <c r="C4760" t="inlineStr">
        <is>
          <t>to attract more drivers
back to the platform.</t>
        </is>
      </c>
      <c r="D4760">
        <f>HYPERLINK("https://www.youtube.com/watch?v=F_uSmKTa0iI&amp;t=182s", "Go to time")</f>
        <v/>
      </c>
    </row>
    <row r="4761">
      <c r="A4761">
        <f>HYPERLINK("https://www.youtube.com/watch?v=F_uSmKTa0iI", "Video")</f>
        <v/>
      </c>
      <c r="B4761" t="inlineStr">
        <is>
          <t>3:09</t>
        </is>
      </c>
      <c r="C4761" t="inlineStr">
        <is>
          <t>in an effort to boost driver availability.</t>
        </is>
      </c>
      <c r="D4761">
        <f>HYPERLINK("https://www.youtube.com/watch?v=F_uSmKTa0iI&amp;t=189s", "Go to time")</f>
        <v/>
      </c>
    </row>
    <row r="4762">
      <c r="A4762">
        <f>HYPERLINK("https://www.youtube.com/watch?v=F_uSmKTa0iI", "Video")</f>
        <v/>
      </c>
      <c r="B4762" t="inlineStr">
        <is>
          <t>3:11</t>
        </is>
      </c>
      <c r="C4762" t="inlineStr">
        <is>
          <t>Lyft spent $572 million
on driver incentives</t>
        </is>
      </c>
      <c r="D4762">
        <f>HYPERLINK("https://www.youtube.com/watch?v=F_uSmKTa0iI&amp;t=191s", "Go to time")</f>
        <v/>
      </c>
    </row>
    <row r="4763">
      <c r="A4763">
        <f>HYPERLINK("https://www.youtube.com/watch?v=F_uSmKTa0iI", "Video")</f>
        <v/>
      </c>
      <c r="B4763" t="inlineStr">
        <is>
          <t>3:19</t>
        </is>
      </c>
      <c r="C4763" t="inlineStr">
        <is>
          <t>According to Lyft, more drivers</t>
        </is>
      </c>
      <c r="D4763">
        <f>HYPERLINK("https://www.youtube.com/watch?v=F_uSmKTa0iI&amp;t=199s", "Go to time")</f>
        <v/>
      </c>
    </row>
    <row r="4764">
      <c r="A4764">
        <f>HYPERLINK("https://www.youtube.com/watch?v=F_uSmKTa0iI", "Video")</f>
        <v/>
      </c>
      <c r="B4764" t="inlineStr">
        <is>
          <t>3:24</t>
        </is>
      </c>
      <c r="C4764" t="inlineStr">
        <is>
          <t>As drivers return to the roads,</t>
        </is>
      </c>
      <c r="D4764">
        <f>HYPERLINK("https://www.youtube.com/watch?v=F_uSmKTa0iI&amp;t=204s", "Go to time")</f>
        <v/>
      </c>
    </row>
    <row r="4765">
      <c r="A4765">
        <f>HYPERLINK("https://www.youtube.com/watch?v=F_uSmKTa0iI", "Video")</f>
        <v/>
      </c>
      <c r="B4765" t="inlineStr">
        <is>
          <t>4:13</t>
        </is>
      </c>
      <c r="C4765" t="inlineStr">
        <is>
          <t>and then incentivizing drivers</t>
        </is>
      </c>
      <c r="D4765">
        <f>HYPERLINK("https://www.youtube.com/watch?v=F_uSmKTa0iI&amp;t=253s", "Go to time")</f>
        <v/>
      </c>
    </row>
    <row r="4766">
      <c r="A4766">
        <f>HYPERLINK("https://www.youtube.com/watch?v=F_uSmKTa0iI", "Video")</f>
        <v/>
      </c>
      <c r="B4766" t="inlineStr">
        <is>
          <t>4:29</t>
        </is>
      </c>
      <c r="C4766" t="inlineStr">
        <is>
          <t>are still offering drivers incentives</t>
        </is>
      </c>
      <c r="D4766">
        <f>HYPERLINK("https://www.youtube.com/watch?v=F_uSmKTa0iI&amp;t=269s", "Go to time")</f>
        <v/>
      </c>
    </row>
    <row r="4767">
      <c r="A4767">
        <f>HYPERLINK("https://www.youtube.com/watch?v=F_uSmKTa0iI", "Video")</f>
        <v/>
      </c>
      <c r="B4767" t="inlineStr">
        <is>
          <t>4:36</t>
        </is>
      </c>
      <c r="C4767" t="inlineStr">
        <is>
          <t>However, Uber said that
their driver numbers</t>
        </is>
      </c>
      <c r="D4767">
        <f>HYPERLINK("https://www.youtube.com/watch?v=F_uSmKTa0iI&amp;t=276s", "Go to time")</f>
        <v/>
      </c>
    </row>
    <row r="4768">
      <c r="A4768">
        <f>HYPERLINK("https://www.youtube.com/watch?v=F_uSmKTa0iI", "Video")</f>
        <v/>
      </c>
      <c r="B4768" t="inlineStr">
        <is>
          <t>4:40</t>
        </is>
      </c>
      <c r="C4768" t="inlineStr">
        <is>
          <t>on driver incentives moving forward.</t>
        </is>
      </c>
      <c r="D4768">
        <f>HYPERLINK("https://www.youtube.com/watch?v=F_uSmKTa0iI&amp;t=280s", "Go to time")</f>
        <v/>
      </c>
    </row>
    <row r="4769">
      <c r="A4769">
        <f>HYPERLINK("https://www.youtube.com/watch?v=F_uSmKTa0iI", "Video")</f>
        <v/>
      </c>
      <c r="B4769" t="inlineStr">
        <is>
          <t>4:44</t>
        </is>
      </c>
      <c r="C4769" t="inlineStr">
        <is>
          <t>is keeping drivers after that.</t>
        </is>
      </c>
      <c r="D4769">
        <f>HYPERLINK("https://www.youtube.com/watch?v=F_uSmKTa0iI&amp;t=284s", "Go to time")</f>
        <v/>
      </c>
    </row>
    <row r="4770">
      <c r="A4770">
        <f>HYPERLINK("https://www.youtube.com/watch?v=F_uSmKTa0iI", "Video")</f>
        <v/>
      </c>
      <c r="B4770" t="inlineStr">
        <is>
          <t>4:48</t>
        </is>
      </c>
      <c r="C4770" t="inlineStr">
        <is>
          <t>might be 30% of a driver's pay,</t>
        </is>
      </c>
      <c r="D4770">
        <f>HYPERLINK("https://www.youtube.com/watch?v=F_uSmKTa0iI&amp;t=288s", "Go to time")</f>
        <v/>
      </c>
    </row>
    <row r="4771">
      <c r="A4771">
        <f>HYPERLINK("https://www.youtube.com/watch?v=F_uSmKTa0iI", "Video")</f>
        <v/>
      </c>
      <c r="B4771" t="inlineStr">
        <is>
          <t>4:53</t>
        </is>
      </c>
      <c r="C4771" t="inlineStr">
        <is>
          <t>and drivers saw their pay cut by 30%,</t>
        </is>
      </c>
      <c r="D4771">
        <f>HYPERLINK("https://www.youtube.com/watch?v=F_uSmKTa0iI&amp;t=293s", "Go to time")</f>
        <v/>
      </c>
    </row>
    <row r="4772">
      <c r="A4772">
        <f>HYPERLINK("https://www.youtube.com/watch?v=F_uSmKTa0iI", "Video")</f>
        <v/>
      </c>
      <c r="B4772" t="inlineStr">
        <is>
          <t>4:56</t>
        </is>
      </c>
      <c r="C4772" t="inlineStr">
        <is>
          <t>you'd have a huge exodus of drivers</t>
        </is>
      </c>
      <c r="D4772">
        <f>HYPERLINK("https://www.youtube.com/watch?v=F_uSmKTa0iI&amp;t=296s", "Go to time")</f>
        <v/>
      </c>
    </row>
    <row r="4773">
      <c r="A4773">
        <f>HYPERLINK("https://www.youtube.com/watch?v=F_uSmKTa0iI", "Video")</f>
        <v/>
      </c>
      <c r="B4773" t="inlineStr">
        <is>
          <t>5:10</t>
        </is>
      </c>
      <c r="C4773" t="inlineStr">
        <is>
          <t>free online language classes for drivers.</t>
        </is>
      </c>
      <c r="D4773">
        <f>HYPERLINK("https://www.youtube.com/watch?v=F_uSmKTa0iI&amp;t=310s", "Go to time")</f>
        <v/>
      </c>
    </row>
    <row r="4774">
      <c r="A4774">
        <f>HYPERLINK("https://www.youtube.com/watch?v=F_uSmKTa0iI", "Video")</f>
        <v/>
      </c>
      <c r="B4774" t="inlineStr">
        <is>
          <t>5:14</t>
        </is>
      </c>
      <c r="C4774" t="inlineStr">
        <is>
          <t>The company says a lot of
their drivers are immigrants.</t>
        </is>
      </c>
      <c r="D4774">
        <f>HYPERLINK("https://www.youtube.com/watch?v=F_uSmKTa0iI&amp;t=314s", "Go to time")</f>
        <v/>
      </c>
    </row>
    <row r="4775">
      <c r="A4775">
        <f>HYPERLINK("https://www.youtube.com/watch?v=F_uSmKTa0iI", "Video")</f>
        <v/>
      </c>
      <c r="B4775" t="inlineStr">
        <is>
          <t>5:36</t>
        </is>
      </c>
      <c r="C4775" t="inlineStr">
        <is>
          <t>- If consumers want better
benefits to drivers,</t>
        </is>
      </c>
      <c r="D4775">
        <f>HYPERLINK("https://www.youtube.com/watch?v=F_uSmKTa0iI&amp;t=336s", "Go to time")</f>
        <v/>
      </c>
    </row>
    <row r="4776">
      <c r="A4776">
        <f>HYPERLINK("https://www.youtube.com/watch?v=F_uSmKTa0iI", "Video")</f>
        <v/>
      </c>
      <c r="B4776" t="inlineStr">
        <is>
          <t>6:06</t>
        </is>
      </c>
      <c r="C4776" t="inlineStr">
        <is>
          <t>that drivers are getting
part of that ride.</t>
        </is>
      </c>
      <c r="D4776">
        <f>HYPERLINK("https://www.youtube.com/watch?v=F_uSmKTa0iI&amp;t=366s", "Go to time")</f>
        <v/>
      </c>
    </row>
    <row r="4777">
      <c r="A4777">
        <f>HYPERLINK("https://www.youtube.com/watch?v=c1GsguvqcOw", "Video")</f>
        <v/>
      </c>
      <c r="B4777" t="inlineStr">
        <is>
          <t>0:18</t>
        </is>
      </c>
      <c r="C4777" t="inlineStr">
        <is>
          <t>more event that has driven National</t>
        </is>
      </c>
      <c r="D4777">
        <f>HYPERLINK("https://www.youtube.com/watch?v=c1GsguvqcOw&amp;t=18s", "Go to time")</f>
        <v/>
      </c>
    </row>
    <row r="4778">
      <c r="A4778">
        <f>HYPERLINK("https://www.youtube.com/watch?v=zFWnxhodrtg", "Video")</f>
        <v/>
      </c>
      <c r="B4778" t="inlineStr">
        <is>
          <t>4:12</t>
        </is>
      </c>
      <c r="C4778" t="inlineStr">
        <is>
          <t>which grad schools are the drivers of</t>
        </is>
      </c>
      <c r="D4778">
        <f>HYPERLINK("https://www.youtube.com/watch?v=zFWnxhodrtg&amp;t=252s", "Go to time")</f>
        <v/>
      </c>
    </row>
    <row r="4779">
      <c r="A4779">
        <f>HYPERLINK("https://www.youtube.com/watch?v=zFWnxhodrtg", "Video")</f>
        <v/>
      </c>
      <c r="B4779" t="inlineStr">
        <is>
          <t>4:40</t>
        </is>
      </c>
      <c r="C4779" t="inlineStr">
        <is>
          <t>big a big driver of debt we you know</t>
        </is>
      </c>
      <c r="D4779">
        <f>HYPERLINK("https://www.youtube.com/watch?v=zFWnxhodrtg&amp;t=280s", "Go to time")</f>
        <v/>
      </c>
    </row>
    <row r="4780">
      <c r="A4780">
        <f>HYPERLINK("https://www.youtube.com/watch?v=ZKds6_dMS74", "Video")</f>
        <v/>
      </c>
      <c r="B4780" t="inlineStr">
        <is>
          <t>0:18</t>
        </is>
      </c>
      <c r="C4780" t="inlineStr">
        <is>
          <t>You drive-through,
almost as if you're going</t>
        </is>
      </c>
      <c r="D4780">
        <f>HYPERLINK("https://www.youtube.com/watch?v=ZKds6_dMS74&amp;t=18s", "Go to time")</f>
        <v/>
      </c>
    </row>
    <row r="4781">
      <c r="A4781">
        <f>HYPERLINK("https://www.youtube.com/watch?v=ZKds6_dMS74", "Video")</f>
        <v/>
      </c>
      <c r="B4781" t="inlineStr">
        <is>
          <t>1:42</t>
        </is>
      </c>
      <c r="C4781" t="inlineStr">
        <is>
          <t>like this drive-through.</t>
        </is>
      </c>
      <c r="D4781">
        <f>HYPERLINK("https://www.youtube.com/watch?v=ZKds6_dMS74&amp;t=102s", "Go to time")</f>
        <v/>
      </c>
    </row>
    <row r="4782">
      <c r="A4782">
        <f>HYPERLINK("https://www.youtube.com/watch?v=ZKds6_dMS74", "Video")</f>
        <v/>
      </c>
      <c r="B4782" t="inlineStr">
        <is>
          <t>2:07</t>
        </is>
      </c>
      <c r="C4782" t="inlineStr">
        <is>
          <t>the drive-through testing site is quick,</t>
        </is>
      </c>
      <c r="D4782">
        <f>HYPERLINK("https://www.youtube.com/watch?v=ZKds6_dMS74&amp;t=127s", "Go to time")</f>
        <v/>
      </c>
    </row>
    <row r="4783">
      <c r="A4783">
        <f>HYPERLINK("https://www.youtube.com/watch?v=ZKds6_dMS74", "Video")</f>
        <v/>
      </c>
      <c r="B4783" t="inlineStr">
        <is>
          <t>2:16</t>
        </is>
      </c>
      <c r="C4783" t="inlineStr">
        <is>
          <t>The biggest limitation though,
is you must be able to drive</t>
        </is>
      </c>
      <c r="D4783">
        <f>HYPERLINK("https://www.youtube.com/watch?v=ZKds6_dMS74&amp;t=136s", "Go to time")</f>
        <v/>
      </c>
    </row>
    <row r="4784">
      <c r="A4784">
        <f>HYPERLINK("https://www.youtube.com/watch?v=ZKds6_dMS74", "Video")</f>
        <v/>
      </c>
      <c r="B4784" t="inlineStr">
        <is>
          <t>2:23</t>
        </is>
      </c>
      <c r="C4784" t="inlineStr">
        <is>
          <t>This probably means people who can't drive</t>
        </is>
      </c>
      <c r="D4784">
        <f>HYPERLINK("https://www.youtube.com/watch?v=ZKds6_dMS74&amp;t=143s", "Go to time")</f>
        <v/>
      </c>
    </row>
    <row r="4785">
      <c r="A4785">
        <f>HYPERLINK("https://www.youtube.com/watch?v=FAkbiD0my4E", "Video")</f>
        <v/>
      </c>
      <c r="B4785" t="inlineStr">
        <is>
          <t>0:16</t>
        </is>
      </c>
      <c r="C4785" t="inlineStr">
        <is>
          <t>It's building drive-thrus,
adding rest stop locations,</t>
        </is>
      </c>
      <c r="D4785">
        <f>HYPERLINK("https://www.youtube.com/watch?v=FAkbiD0my4E&amp;t=16s", "Go to time")</f>
        <v/>
      </c>
    </row>
    <row r="4786">
      <c r="A4786">
        <f>HYPERLINK("https://www.youtube.com/watch?v=FAkbiD0my4E", "Video")</f>
        <v/>
      </c>
      <c r="B4786" t="inlineStr">
        <is>
          <t>1:08</t>
        </is>
      </c>
      <c r="C4786" t="inlineStr">
        <is>
          <t>- [Narrator] A big part of
this initiative is drive-thru.</t>
        </is>
      </c>
      <c r="D4786">
        <f>HYPERLINK("https://www.youtube.com/watch?v=FAkbiD0my4E&amp;t=68s", "Go to time")</f>
        <v/>
      </c>
    </row>
    <row r="4787">
      <c r="A4787">
        <f>HYPERLINK("https://www.youtube.com/watch?v=FAkbiD0my4E", "Video")</f>
        <v/>
      </c>
      <c r="B4787" t="inlineStr">
        <is>
          <t>1:16</t>
        </is>
      </c>
      <c r="C4787" t="inlineStr">
        <is>
          <t>Shake Shack has opened more
than 30 drive-thru locations</t>
        </is>
      </c>
      <c r="D4787">
        <f>HYPERLINK("https://www.youtube.com/watch?v=FAkbiD0my4E&amp;t=76s", "Go to time")</f>
        <v/>
      </c>
    </row>
    <row r="4788">
      <c r="A4788">
        <f>HYPERLINK("https://www.youtube.com/watch?v=FAkbiD0my4E", "Video")</f>
        <v/>
      </c>
      <c r="B4788" t="inlineStr">
        <is>
          <t>1:24</t>
        </is>
      </c>
      <c r="C4788" t="inlineStr">
        <is>
          <t>- [Narrator] Drive-thrus
can be significantly</t>
        </is>
      </c>
      <c r="D4788">
        <f>HYPERLINK("https://www.youtube.com/watch?v=FAkbiD0my4E&amp;t=84s", "Go to time")</f>
        <v/>
      </c>
    </row>
    <row r="4789">
      <c r="A4789">
        <f>HYPERLINK("https://www.youtube.com/watch?v=FAkbiD0my4E", "Video")</f>
        <v/>
      </c>
      <c r="B4789" t="inlineStr">
        <is>
          <t>1:34</t>
        </is>
      </c>
      <c r="C4789" t="inlineStr">
        <is>
          <t>of its multi-billion dollar
US business from drive-thru.</t>
        </is>
      </c>
      <c r="D4789">
        <f>HYPERLINK("https://www.youtube.com/watch?v=FAkbiD0my4E&amp;t=94s", "Go to time")</f>
        <v/>
      </c>
    </row>
    <row r="4790">
      <c r="A4790">
        <f>HYPERLINK("https://www.youtube.com/watch?v=FAkbiD0my4E", "Video")</f>
        <v/>
      </c>
      <c r="B4790" t="inlineStr">
        <is>
          <t>1:49</t>
        </is>
      </c>
      <c r="C4790" t="inlineStr">
        <is>
          <t>who are able to go through
your drive-thru at peak.</t>
        </is>
      </c>
      <c r="D4790">
        <f>HYPERLINK("https://www.youtube.com/watch?v=FAkbiD0my4E&amp;t=109s", "Go to time")</f>
        <v/>
      </c>
    </row>
    <row r="4791">
      <c r="A4791">
        <f>HYPERLINK("https://www.youtube.com/watch?v=FAkbiD0my4E", "Video")</f>
        <v/>
      </c>
      <c r="B4791" t="inlineStr">
        <is>
          <t>1:53</t>
        </is>
      </c>
      <c r="C4791" t="inlineStr">
        <is>
          <t>to get into the drive-thru business,</t>
        </is>
      </c>
      <c r="D4791">
        <f>HYPERLINK("https://www.youtube.com/watch?v=FAkbiD0my4E&amp;t=113s", "Go to time")</f>
        <v/>
      </c>
    </row>
    <row r="4792">
      <c r="A4792">
        <f>HYPERLINK("https://www.youtube.com/watch?v=FAkbiD0my4E", "Video")</f>
        <v/>
      </c>
      <c r="B4792" t="inlineStr">
        <is>
          <t>1:57</t>
        </is>
      </c>
      <c r="C4792" t="inlineStr">
        <is>
          <t>Taco Bell, for instance,
has a four-lane drive-thru</t>
        </is>
      </c>
      <c r="D4792">
        <f>HYPERLINK("https://www.youtube.com/watch?v=FAkbiD0my4E&amp;t=117s", "Go to time")</f>
        <v/>
      </c>
    </row>
    <row r="4793">
      <c r="A4793">
        <f>HYPERLINK("https://www.youtube.com/watch?v=FAkbiD0my4E", "Video")</f>
        <v/>
      </c>
      <c r="B4793" t="inlineStr">
        <is>
          <t>2:02</t>
        </is>
      </c>
      <c r="C4793" t="inlineStr">
        <is>
          <t>for mobile orders and delivery drivers.</t>
        </is>
      </c>
      <c r="D4793">
        <f>HYPERLINK("https://www.youtube.com/watch?v=FAkbiD0my4E&amp;t=122s", "Go to time")</f>
        <v/>
      </c>
    </row>
    <row r="4794">
      <c r="A4794">
        <f>HYPERLINK("https://www.youtube.com/watch?v=FAkbiD0my4E", "Video")</f>
        <v/>
      </c>
      <c r="B4794" t="inlineStr">
        <is>
          <t>2:19</t>
        </is>
      </c>
      <c r="C4794" t="inlineStr">
        <is>
          <t>Taco Bell and McDonald's drive-thrus</t>
        </is>
      </c>
      <c r="D4794">
        <f>HYPERLINK("https://www.youtube.com/watch?v=FAkbiD0my4E&amp;t=139s", "Go to time")</f>
        <v/>
      </c>
    </row>
    <row r="4795">
      <c r="A4795">
        <f>HYPERLINK("https://www.youtube.com/watch?v=FAkbiD0my4E", "Video")</f>
        <v/>
      </c>
      <c r="B4795" t="inlineStr">
        <is>
          <t>2:28</t>
        </is>
      </c>
      <c r="C4795" t="inlineStr">
        <is>
          <t>Shake Shack doesn't disclose
wait times for its drive-thrus,</t>
        </is>
      </c>
      <c r="D4795">
        <f>HYPERLINK("https://www.youtube.com/watch?v=FAkbiD0my4E&amp;t=148s", "Go to time")</f>
        <v/>
      </c>
    </row>
    <row r="4796">
      <c r="A4796">
        <f>HYPERLINK("https://www.youtube.com/watch?v=FAkbiD0my4E", "Video")</f>
        <v/>
      </c>
      <c r="B4796" t="inlineStr">
        <is>
          <t>2:42</t>
        </is>
      </c>
      <c r="C4796" t="inlineStr">
        <is>
          <t>in our drive-thrus than
we do in our restaurants.</t>
        </is>
      </c>
      <c r="D4796">
        <f>HYPERLINK("https://www.youtube.com/watch?v=FAkbiD0my4E&amp;t=162s", "Go to time")</f>
        <v/>
      </c>
    </row>
    <row r="4797">
      <c r="A4797">
        <f>HYPERLINK("https://www.youtube.com/watch?v=FAkbiD0my4E", "Video")</f>
        <v/>
      </c>
      <c r="B4797" t="inlineStr">
        <is>
          <t>4:08</t>
        </is>
      </c>
      <c r="C4797" t="inlineStr">
        <is>
          <t>That's been a major driver in
Shake Shack's rapid expansion.</t>
        </is>
      </c>
      <c r="D4797">
        <f>HYPERLINK("https://www.youtube.com/watch?v=FAkbiD0my4E&amp;t=248s", "Go to time")</f>
        <v/>
      </c>
    </row>
    <row r="4798">
      <c r="A4798">
        <f>HYPERLINK("https://www.youtube.com/watch?v=b-Ilr-8L5QE", "Video")</f>
        <v/>
      </c>
      <c r="B4798" t="inlineStr">
        <is>
          <t>2:18</t>
        </is>
      </c>
      <c r="C4798" t="inlineStr">
        <is>
          <t>to start to drive new technological</t>
        </is>
      </c>
      <c r="D4798">
        <f>HYPERLINK("https://www.youtube.com/watch?v=b-Ilr-8L5QE&amp;t=138s", "Go to time")</f>
        <v/>
      </c>
    </row>
    <row r="4799">
      <c r="A4799">
        <f>HYPERLINK("https://www.youtube.com/watch?v=b-Ilr-8L5QE", "Video")</f>
        <v/>
      </c>
      <c r="B4799" t="inlineStr">
        <is>
          <t>2:44</t>
        </is>
      </c>
      <c r="C4799" t="inlineStr">
        <is>
          <t>the drivers can complete the entire race</t>
        </is>
      </c>
      <c r="D4799">
        <f>HYPERLINK("https://www.youtube.com/watch?v=b-Ilr-8L5QE&amp;t=164s", "Go to time")</f>
        <v/>
      </c>
    </row>
    <row r="4800">
      <c r="A4800">
        <f>HYPERLINK("https://www.youtube.com/watch?v=M4pbQPBo67s", "Video")</f>
        <v/>
      </c>
      <c r="B4800" t="inlineStr">
        <is>
          <t>4:01</t>
        </is>
      </c>
      <c r="C4800" t="inlineStr">
        <is>
          <t>algorithm driven search recommendations</t>
        </is>
      </c>
      <c r="D4800">
        <f>HYPERLINK("https://www.youtube.com/watch?v=M4pbQPBo67s&amp;t=241s", "Go to time")</f>
        <v/>
      </c>
    </row>
    <row r="4801">
      <c r="A4801">
        <f>HYPERLINK("https://www.youtube.com/watch?v=RiALARM1xv0", "Video")</f>
        <v/>
      </c>
      <c r="B4801" t="inlineStr">
        <is>
          <t>8:08</t>
        </is>
      </c>
      <c r="C4801" t="inlineStr">
        <is>
          <t>said they expect to be able to drive</t>
        </is>
      </c>
      <c r="D4801">
        <f>HYPERLINK("https://www.youtube.com/watch?v=RiALARM1xv0&amp;t=488s", "Go to time")</f>
        <v/>
      </c>
    </row>
    <row r="4802">
      <c r="A4802">
        <f>HYPERLINK("https://www.youtube.com/watch?v=3rwjz6Y1blE", "Video")</f>
        <v/>
      </c>
      <c r="B4802" t="inlineStr">
        <is>
          <t>1:10</t>
        </is>
      </c>
      <c r="C4802" t="inlineStr">
        <is>
          <t>of trading that's driven by computers</t>
        </is>
      </c>
      <c r="D4802">
        <f>HYPERLINK("https://www.youtube.com/watch?v=3rwjz6Y1blE&amp;t=70s", "Go to time")</f>
        <v/>
      </c>
    </row>
    <row r="4803">
      <c r="A4803">
        <f>HYPERLINK("https://www.youtube.com/watch?v=E9CVctdeoxo", "Video")</f>
        <v/>
      </c>
      <c r="B4803" t="inlineStr">
        <is>
          <t>2:21</t>
        </is>
      </c>
      <c r="C4803" t="inlineStr">
        <is>
          <t>I think it should be data driven if</t>
        </is>
      </c>
      <c r="D4803">
        <f>HYPERLINK("https://www.youtube.com/watch?v=E9CVctdeoxo&amp;t=141s", "Go to time")</f>
        <v/>
      </c>
    </row>
    <row r="4804">
      <c r="A4804">
        <f>HYPERLINK("https://www.youtube.com/watch?v=AVUzgSe0b3w", "Video")</f>
        <v/>
      </c>
      <c r="B4804" t="inlineStr">
        <is>
          <t>1:12</t>
        </is>
      </c>
      <c r="C4804" t="inlineStr">
        <is>
          <t>personally experience-driven Pursuit you</t>
        </is>
      </c>
      <c r="D4804">
        <f>HYPERLINK("https://www.youtube.com/watch?v=AVUzgSe0b3w&amp;t=72s", "Go to time")</f>
        <v/>
      </c>
    </row>
    <row r="4805">
      <c r="A4805">
        <f>HYPERLINK("https://www.youtube.com/watch?v=evOwVM6NAh4", "Video")</f>
        <v/>
      </c>
      <c r="B4805" t="inlineStr">
        <is>
          <t>1:27</t>
        </is>
      </c>
      <c r="C4805" t="inlineStr">
        <is>
          <t>new technologies to
drive down launch prices</t>
        </is>
      </c>
      <c r="D4805">
        <f>HYPERLINK("https://www.youtube.com/watch?v=evOwVM6NAh4&amp;t=87s", "Go to time")</f>
        <v/>
      </c>
    </row>
    <row r="4806">
      <c r="A4806">
        <f>HYPERLINK("https://www.youtube.com/watch?v=fpO8Hf9PdcM", "Video")</f>
        <v/>
      </c>
      <c r="B4806" t="inlineStr">
        <is>
          <t>3:23</t>
        </is>
      </c>
      <c r="C4806" t="inlineStr">
        <is>
          <t>leave no um because it's often driven by</t>
        </is>
      </c>
      <c r="D4806">
        <f>HYPERLINK("https://www.youtube.com/watch?v=fpO8Hf9PdcM&amp;t=203s", "Go to time")</f>
        <v/>
      </c>
    </row>
    <row r="4807">
      <c r="A4807">
        <f>HYPERLINK("https://www.youtube.com/watch?v=XTldK247KmE", "Video")</f>
        <v/>
      </c>
      <c r="B4807" t="inlineStr">
        <is>
          <t>2:04</t>
        </is>
      </c>
      <c r="C4807" t="inlineStr">
        <is>
          <t>in annual revenue driven in
large part by the pandemic</t>
        </is>
      </c>
      <c r="D4807">
        <f>HYPERLINK("https://www.youtube.com/watch?v=XTldK247KmE&amp;t=124s", "Go to time")</f>
        <v/>
      </c>
    </row>
    <row r="4808">
      <c r="A4808">
        <f>HYPERLINK("https://www.youtube.com/watch?v=A8BbLOoreEM", "Video")</f>
        <v/>
      </c>
      <c r="B4808" t="inlineStr">
        <is>
          <t>1:56</t>
        </is>
      </c>
      <c r="C4808" t="inlineStr">
        <is>
          <t>fact that you don't have to drive Park</t>
        </is>
      </c>
      <c r="D4808">
        <f>HYPERLINK("https://www.youtube.com/watch?v=A8BbLOoreEM&amp;t=116s", "Go to time")</f>
        <v/>
      </c>
    </row>
    <row r="4809">
      <c r="A4809">
        <f>HYPERLINK("https://www.youtube.com/watch?v=A8BbLOoreEM", "Video")</f>
        <v/>
      </c>
      <c r="B4809" t="inlineStr">
        <is>
          <t>2:32</t>
        </is>
      </c>
      <c r="C4809" t="inlineStr">
        <is>
          <t>began to drive Amazon's value up is when</t>
        </is>
      </c>
      <c r="D4809">
        <f>HYPERLINK("https://www.youtube.com/watch?v=A8BbLOoreEM&amp;t=152s", "Go to time")</f>
        <v/>
      </c>
    </row>
    <row r="4810">
      <c r="A4810">
        <f>HYPERLINK("https://www.youtube.com/watch?v=xdBMr2S_Ocg", "Video")</f>
        <v/>
      </c>
      <c r="B4810" t="inlineStr">
        <is>
          <t>0:24</t>
        </is>
      </c>
      <c r="C4810" t="inlineStr">
        <is>
          <t>three things that have driven the growth</t>
        </is>
      </c>
      <c r="D4810">
        <f>HYPERLINK("https://www.youtube.com/watch?v=xdBMr2S_Ocg&amp;t=24s", "Go to time")</f>
        <v/>
      </c>
    </row>
    <row r="4811">
      <c r="A4811">
        <f>HYPERLINK("https://www.youtube.com/watch?v=xdBMr2S_Ocg", "Video")</f>
        <v/>
      </c>
      <c r="B4811" t="inlineStr">
        <is>
          <t>1:11</t>
        </is>
      </c>
      <c r="C4811" t="inlineStr">
        <is>
          <t>drives the business you do both I you do</t>
        </is>
      </c>
      <c r="D4811">
        <f>HYPERLINK("https://www.youtube.com/watch?v=xdBMr2S_Ocg&amp;t=71s", "Go to time")</f>
        <v/>
      </c>
    </row>
    <row r="4812">
      <c r="A4812">
        <f>HYPERLINK("https://www.youtube.com/watch?v=xdBMr2S_Ocg", "Video")</f>
        <v/>
      </c>
      <c r="B4812" t="inlineStr">
        <is>
          <t>2:00</t>
        </is>
      </c>
      <c r="C4812" t="inlineStr">
        <is>
          <t>understanding the drivers in the</t>
        </is>
      </c>
      <c r="D4812">
        <f>HYPERLINK("https://www.youtube.com/watch?v=xdBMr2S_Ocg&amp;t=120s", "Go to time")</f>
        <v/>
      </c>
    </row>
    <row r="4813">
      <c r="A4813">
        <f>HYPERLINK("https://www.youtube.com/watch?v=xdBMr2S_Ocg", "Video")</f>
        <v/>
      </c>
      <c r="B4813" t="inlineStr">
        <is>
          <t>2:17</t>
        </is>
      </c>
      <c r="C4813" t="inlineStr">
        <is>
          <t>understand the drivers that take you</t>
        </is>
      </c>
      <c r="D4813">
        <f>HYPERLINK("https://www.youtube.com/watch?v=xdBMr2S_Ocg&amp;t=137s", "Go to time")</f>
        <v/>
      </c>
    </row>
    <row r="4814">
      <c r="A4814">
        <f>HYPERLINK("https://www.youtube.com/watch?v=xdBMr2S_Ocg", "Video")</f>
        <v/>
      </c>
      <c r="B4814" t="inlineStr">
        <is>
          <t>3:45</t>
        </is>
      </c>
      <c r="C4814" t="inlineStr">
        <is>
          <t>driver of the ship okay so we're 5 years</t>
        </is>
      </c>
      <c r="D4814">
        <f>HYPERLINK("https://www.youtube.com/watch?v=xdBMr2S_Ocg&amp;t=225s", "Go to time")</f>
        <v/>
      </c>
    </row>
    <row r="4815">
      <c r="A4815">
        <f>HYPERLINK("https://www.youtube.com/watch?v=dZMI2D8zhIs", "Video")</f>
        <v/>
      </c>
      <c r="B4815" t="inlineStr">
        <is>
          <t>7:19</t>
        </is>
      </c>
      <c r="C4815" t="inlineStr">
        <is>
          <t>drive home very hard in the next uh in</t>
        </is>
      </c>
      <c r="D4815">
        <f>HYPERLINK("https://www.youtube.com/watch?v=dZMI2D8zhIs&amp;t=439s", "Go to time")</f>
        <v/>
      </c>
    </row>
    <row r="4816">
      <c r="A4816">
        <f>HYPERLINK("https://www.youtube.com/watch?v=PwFFQOlKLrQ", "Video")</f>
        <v/>
      </c>
      <c r="B4816" t="inlineStr">
        <is>
          <t>0:25</t>
        </is>
      </c>
      <c r="C4816" t="inlineStr">
        <is>
          <t>stock grants can drive pay higher even</t>
        </is>
      </c>
      <c r="D4816">
        <f>HYPERLINK("https://www.youtube.com/watch?v=PwFFQOlKLrQ&amp;t=25s", "Go to time")</f>
        <v/>
      </c>
    </row>
    <row r="4817">
      <c r="A4817">
        <f>HYPERLINK("https://www.youtube.com/watch?v=54dcwbrW7Vg", "Video")</f>
        <v/>
      </c>
      <c r="B4817" t="inlineStr">
        <is>
          <t>1:06</t>
        </is>
      </c>
      <c r="C4817" t="inlineStr">
        <is>
          <t>the main earnings driver for the company</t>
        </is>
      </c>
      <c r="D4817">
        <f>HYPERLINK("https://www.youtube.com/watch?v=54dcwbrW7Vg&amp;t=66s", "Go to time")</f>
        <v/>
      </c>
    </row>
    <row r="4818">
      <c r="A4818">
        <f>HYPERLINK("https://www.youtube.com/watch?v=OkzNElJ1pSI", "Video")</f>
        <v/>
      </c>
      <c r="B4818" t="inlineStr">
        <is>
          <t>4:10</t>
        </is>
      </c>
      <c r="C4818" t="inlineStr">
        <is>
          <t>have driven every state to ease lockdowns,</t>
        </is>
      </c>
      <c r="D4818">
        <f>HYPERLINK("https://www.youtube.com/watch?v=OkzNElJ1pSI&amp;t=250s", "Go to time")</f>
        <v/>
      </c>
    </row>
    <row r="4819">
      <c r="A4819">
        <f>HYPERLINK("https://www.youtube.com/watch?v=OkzNElJ1pSI", "Video")</f>
        <v/>
      </c>
      <c r="B4819" t="inlineStr">
        <is>
          <t>5:00</t>
        </is>
      </c>
      <c r="C4819" t="inlineStr">
        <is>
          <t>as asymptomatic young people drive a surge</t>
        </is>
      </c>
      <c r="D4819">
        <f>HYPERLINK("https://www.youtube.com/watch?v=OkzNElJ1pSI&amp;t=300s", "Go to time")</f>
        <v/>
      </c>
    </row>
    <row r="4820">
      <c r="A4820">
        <f>HYPERLINK("https://www.youtube.com/watch?v=N1xUWcBnfkg", "Video")</f>
        <v/>
      </c>
      <c r="B4820" t="inlineStr">
        <is>
          <t>0:53</t>
        </is>
      </c>
      <c r="C4820" t="inlineStr">
        <is>
          <t>drive your vehicle onto a platform at</t>
        </is>
      </c>
      <c r="D4820">
        <f>HYPERLINK("https://www.youtube.com/watch?v=N1xUWcBnfkg&amp;t=53s", "Go to time")</f>
        <v/>
      </c>
    </row>
    <row r="4821">
      <c r="A4821">
        <f>HYPERLINK("https://www.youtube.com/watch?v=N1xUWcBnfkg", "Video")</f>
        <v/>
      </c>
      <c r="B4821" t="inlineStr">
        <is>
          <t>1:06</t>
        </is>
      </c>
      <c r="C4821" t="inlineStr">
        <is>
          <t>back out at street level and drive off</t>
        </is>
      </c>
      <c r="D4821">
        <f>HYPERLINK("https://www.youtube.com/watch?v=N1xUWcBnfkg&amp;t=66s", "Go to time")</f>
        <v/>
      </c>
    </row>
    <row r="4822">
      <c r="A4822">
        <f>HYPERLINK("https://www.youtube.com/watch?v=N1xUWcBnfkg", "Video")</f>
        <v/>
      </c>
      <c r="B4822" t="inlineStr">
        <is>
          <t>2:48</t>
        </is>
      </c>
      <c r="C4822" t="inlineStr">
        <is>
          <t>to drive up and then autonomously be</t>
        </is>
      </c>
      <c r="D4822">
        <f>HYPERLINK("https://www.youtube.com/watch?v=N1xUWcBnfkg&amp;t=168s", "Go to time")</f>
        <v/>
      </c>
    </row>
    <row r="4823">
      <c r="A4823">
        <f>HYPERLINK("https://www.youtube.com/watch?v=N1xUWcBnfkg", "Video")</f>
        <v/>
      </c>
      <c r="B4823" t="inlineStr">
        <is>
          <t>3:34</t>
        </is>
      </c>
      <c r="C4823" t="inlineStr">
        <is>
          <t>and only driven on by chauffeured Teslas</t>
        </is>
      </c>
      <c r="D4823">
        <f>HYPERLINK("https://www.youtube.com/watch?v=N1xUWcBnfkg&amp;t=214s", "Go to time")</f>
        <v/>
      </c>
    </row>
    <row r="4824">
      <c r="A4824">
        <f>HYPERLINK("https://www.youtube.com/watch?v=-5tNxKtpSco", "Video")</f>
        <v/>
      </c>
      <c r="B4824" t="inlineStr">
        <is>
          <t>3:41</t>
        </is>
      </c>
      <c r="C4824" t="inlineStr">
        <is>
          <t>drive their corporate rate down to</t>
        </is>
      </c>
      <c r="D4824">
        <f>HYPERLINK("https://www.youtube.com/watch?v=-5tNxKtpSco&amp;t=221s", "Go to time")</f>
        <v/>
      </c>
    </row>
    <row r="4825">
      <c r="A4825">
        <f>HYPERLINK("https://www.youtube.com/watch?v=-5tNxKtpSco", "Video")</f>
        <v/>
      </c>
      <c r="B4825" t="inlineStr">
        <is>
          <t>5:59</t>
        </is>
      </c>
      <c r="C4825" t="inlineStr">
        <is>
          <t>you look at a deal it's not just driven</t>
        </is>
      </c>
      <c r="D4825">
        <f>HYPERLINK("https://www.youtube.com/watch?v=-5tNxKtpSco&amp;t=359s", "Go to time")</f>
        <v/>
      </c>
    </row>
    <row r="4826">
      <c r="A4826">
        <f>HYPERLINK("https://www.youtube.com/watch?v=umZwZCTXF8Q", "Video")</f>
        <v/>
      </c>
      <c r="B4826" t="inlineStr">
        <is>
          <t>0:43</t>
        </is>
      </c>
      <c r="C4826" t="inlineStr">
        <is>
          <t>and Latino communities will drive a</t>
        </is>
      </c>
      <c r="D4826">
        <f>HYPERLINK("https://www.youtube.com/watch?v=umZwZCTXF8Q&amp;t=43s", "Go to time")</f>
        <v/>
      </c>
    </row>
    <row r="4827">
      <c r="A4827">
        <f>HYPERLINK("https://www.youtube.com/watch?v=RzuqNQZY7Zc", "Video")</f>
        <v/>
      </c>
      <c r="B4827" t="inlineStr">
        <is>
          <t>4:15</t>
        </is>
      </c>
      <c r="C4827" t="inlineStr">
        <is>
          <t>Truck drivers coming into the city</t>
        </is>
      </c>
      <c r="D4827">
        <f>HYPERLINK("https://www.youtube.com/watch?v=RzuqNQZY7Zc&amp;t=255s", "Go to time")</f>
        <v/>
      </c>
    </row>
    <row r="4828">
      <c r="A4828">
        <f>HYPERLINK("https://www.youtube.com/watch?v=1KtTAb9Tl6E", "Video")</f>
        <v/>
      </c>
      <c r="B4828" t="inlineStr">
        <is>
          <t>9:20</t>
        </is>
      </c>
      <c r="C4828" t="inlineStr">
        <is>
          <t>What I typically do is drive a UTR,</t>
        </is>
      </c>
      <c r="D4828">
        <f>HYPERLINK("https://www.youtube.com/watch?v=1KtTAb9Tl6E&amp;t=560s", "Go to time")</f>
        <v/>
      </c>
    </row>
    <row r="4829">
      <c r="A4829">
        <f>HYPERLINK("https://www.youtube.com/watch?v=1KtTAb9Tl6E", "Video")</f>
        <v/>
      </c>
      <c r="B4829" t="inlineStr">
        <is>
          <t>11:21</t>
        </is>
      </c>
      <c r="C4829" t="inlineStr">
        <is>
          <t>and, finally, you have the drivers</t>
        </is>
      </c>
      <c r="D4829">
        <f>HYPERLINK("https://www.youtube.com/watch?v=1KtTAb9Tl6E&amp;t=681s", "Go to time")</f>
        <v/>
      </c>
    </row>
    <row r="4830">
      <c r="A4830">
        <f>HYPERLINK("https://www.youtube.com/watch?v=1KtTAb9Tl6E", "Video")</f>
        <v/>
      </c>
      <c r="B4830" t="inlineStr">
        <is>
          <t>14:44</t>
        </is>
      </c>
      <c r="C4830" t="inlineStr">
        <is>
          <t>I am a professional truck driver.</t>
        </is>
      </c>
      <c r="D4830">
        <f>HYPERLINK("https://www.youtube.com/watch?v=1KtTAb9Tl6E&amp;t=884s", "Go to time")</f>
        <v/>
      </c>
    </row>
    <row r="4831">
      <c r="A4831">
        <f>HYPERLINK("https://www.youtube.com/watch?v=1KtTAb9Tl6E", "Video")</f>
        <v/>
      </c>
      <c r="B4831" t="inlineStr">
        <is>
          <t>14:56</t>
        </is>
      </c>
      <c r="C4831" t="inlineStr">
        <is>
          <t>I'm an over-the-road driver.</t>
        </is>
      </c>
      <c r="D4831">
        <f>HYPERLINK("https://www.youtube.com/watch?v=1KtTAb9Tl6E&amp;t=896s", "Go to time")</f>
        <v/>
      </c>
    </row>
    <row r="4832">
      <c r="A4832">
        <f>HYPERLINK("https://www.youtube.com/watch?v=1KtTAb9Tl6E", "Video")</f>
        <v/>
      </c>
      <c r="B4832" t="inlineStr">
        <is>
          <t>15:39</t>
        </is>
      </c>
      <c r="C4832" t="inlineStr">
        <is>
          <t>that there aren't enough drivers willing</t>
        </is>
      </c>
      <c r="D4832">
        <f>HYPERLINK("https://www.youtube.com/watch?v=1KtTAb9Tl6E&amp;t=939s", "Go to time")</f>
        <v/>
      </c>
    </row>
    <row r="4833">
      <c r="A4833">
        <f>HYPERLINK("https://www.youtube.com/watch?v=1KtTAb9Tl6E", "Video")</f>
        <v/>
      </c>
      <c r="B4833" t="inlineStr">
        <is>
          <t>16:14</t>
        </is>
      </c>
      <c r="C4833" t="inlineStr">
        <is>
          <t>and the work that truck drivers do</t>
        </is>
      </c>
      <c r="D4833">
        <f>HYPERLINK("https://www.youtube.com/watch?v=1KtTAb9Tl6E&amp;t=974s", "Go to time")</f>
        <v/>
      </c>
    </row>
    <row r="4834">
      <c r="A4834">
        <f>HYPERLINK("https://www.youtube.com/watch?v=1KtTAb9Tl6E", "Video")</f>
        <v/>
      </c>
      <c r="B4834" t="inlineStr">
        <is>
          <t>16:21</t>
        </is>
      </c>
      <c r="C4834" t="inlineStr">
        <is>
          <t>The current driver shortage
has been talked about</t>
        </is>
      </c>
      <c r="D4834">
        <f>HYPERLINK("https://www.youtube.com/watch?v=1KtTAb9Tl6E&amp;t=981s", "Go to time")</f>
        <v/>
      </c>
    </row>
    <row r="4835">
      <c r="A4835">
        <f>HYPERLINK("https://www.youtube.com/watch?v=1KtTAb9Tl6E", "Video")</f>
        <v/>
      </c>
      <c r="B4835" t="inlineStr">
        <is>
          <t>16:28</t>
        </is>
      </c>
      <c r="C4835" t="inlineStr">
        <is>
          <t>The issue with the truck
driver shortage is not one</t>
        </is>
      </c>
      <c r="D4835">
        <f>HYPERLINK("https://www.youtube.com/watch?v=1KtTAb9Tl6E&amp;t=988s", "Go to time")</f>
        <v/>
      </c>
    </row>
    <row r="4836">
      <c r="A4836">
        <f>HYPERLINK("https://www.youtube.com/watch?v=1KtTAb9Tl6E", "Video")</f>
        <v/>
      </c>
      <c r="B4836" t="inlineStr">
        <is>
          <t>16:45</t>
        </is>
      </c>
      <c r="C4836" t="inlineStr">
        <is>
          <t>not a driver shortage.</t>
        </is>
      </c>
      <c r="D4836">
        <f>HYPERLINK("https://www.youtube.com/watch?v=1KtTAb9Tl6E&amp;t=1005s", "Go to time")</f>
        <v/>
      </c>
    </row>
    <row r="4837">
      <c r="A4837">
        <f>HYPERLINK("https://www.youtube.com/watch?v=1KtTAb9Tl6E", "Video")</f>
        <v/>
      </c>
      <c r="B4837" t="inlineStr">
        <is>
          <t>17:11</t>
        </is>
      </c>
      <c r="C4837" t="inlineStr">
        <is>
          <t>unionized truck drivers were making</t>
        </is>
      </c>
      <c r="D4837">
        <f>HYPERLINK("https://www.youtube.com/watch?v=1KtTAb9Tl6E&amp;t=1031s", "Go to time")</f>
        <v/>
      </c>
    </row>
    <row r="4838">
      <c r="A4838">
        <f>HYPERLINK("https://www.youtube.com/watch?v=1KtTAb9Tl6E", "Video")</f>
        <v/>
      </c>
      <c r="B4838" t="inlineStr">
        <is>
          <t>17:48</t>
        </is>
      </c>
      <c r="C4838" t="inlineStr">
        <is>
          <t>"Oh, anybody can drive a truck."</t>
        </is>
      </c>
      <c r="D4838">
        <f>HYPERLINK("https://www.youtube.com/watch?v=1KtTAb9Tl6E&amp;t=1068s", "Go to time")</f>
        <v/>
      </c>
    </row>
    <row r="4839">
      <c r="A4839">
        <f>HYPERLINK("https://www.youtube.com/watch?v=1KtTAb9Tl6E", "Video")</f>
        <v/>
      </c>
      <c r="B4839" t="inlineStr">
        <is>
          <t>18:07</t>
        </is>
      </c>
      <c r="C4839" t="inlineStr">
        <is>
          <t>You have to manage your
available time to drive,</t>
        </is>
      </c>
      <c r="D4839">
        <f>HYPERLINK("https://www.youtube.com/watch?v=1KtTAb9Tl6E&amp;t=1087s", "Go to time")</f>
        <v/>
      </c>
    </row>
    <row r="4840">
      <c r="A4840">
        <f>HYPERLINK("https://www.youtube.com/watch?v=1KtTAb9Tl6E", "Video")</f>
        <v/>
      </c>
      <c r="B4840" t="inlineStr">
        <is>
          <t>18:21</t>
        </is>
      </c>
      <c r="C4840" t="inlineStr">
        <is>
          <t>and you're losing time that you can drive.</t>
        </is>
      </c>
      <c r="D4840">
        <f>HYPERLINK("https://www.youtube.com/watch?v=1KtTAb9Tl6E&amp;t=1101s", "Go to time")</f>
        <v/>
      </c>
    </row>
    <row r="4841">
      <c r="A4841">
        <f>HYPERLINK("https://www.youtube.com/watch?v=1KtTAb9Tl6E", "Video")</f>
        <v/>
      </c>
      <c r="B4841" t="inlineStr">
        <is>
          <t>18:31</t>
        </is>
      </c>
      <c r="C4841" t="inlineStr">
        <is>
          <t>for those drivers is that</t>
        </is>
      </c>
      <c r="D4841">
        <f>HYPERLINK("https://www.youtube.com/watch?v=1KtTAb9Tl6E&amp;t=1111s", "Go to time")</f>
        <v/>
      </c>
    </row>
    <row r="4842">
      <c r="A4842">
        <f>HYPERLINK("https://www.youtube.com/watch?v=1KtTAb9Tl6E", "Video")</f>
        <v/>
      </c>
      <c r="B4842" t="inlineStr">
        <is>
          <t>18:33</t>
        </is>
      </c>
      <c r="C4842" t="inlineStr">
        <is>
          <t>they can only drive so many hours per day.</t>
        </is>
      </c>
      <c r="D4842">
        <f>HYPERLINK("https://www.youtube.com/watch?v=1KtTAb9Tl6E&amp;t=1113s", "Go to time")</f>
        <v/>
      </c>
    </row>
    <row r="4843">
      <c r="A4843">
        <f>HYPERLINK("https://www.youtube.com/watch?v=1KtTAb9Tl6E", "Video")</f>
        <v/>
      </c>
      <c r="B4843" t="inlineStr">
        <is>
          <t>18:38</t>
        </is>
      </c>
      <c r="C4843" t="inlineStr">
        <is>
          <t>they have to record the
hours that they drive,</t>
        </is>
      </c>
      <c r="D4843">
        <f>HYPERLINK("https://www.youtube.com/watch?v=1KtTAb9Tl6E&amp;t=1118s", "Go to time")</f>
        <v/>
      </c>
    </row>
    <row r="4844">
      <c r="A4844">
        <f>HYPERLINK("https://www.youtube.com/watch?v=1KtTAb9Tl6E", "Video")</f>
        <v/>
      </c>
      <c r="B4844" t="inlineStr">
        <is>
          <t>18:48</t>
        </is>
      </c>
      <c r="C4844" t="inlineStr">
        <is>
          <t>(murmurs) time, you legally can't drive.</t>
        </is>
      </c>
      <c r="D4844">
        <f>HYPERLINK("https://www.youtube.com/watch?v=1KtTAb9Tl6E&amp;t=1128s", "Go to time")</f>
        <v/>
      </c>
    </row>
    <row r="4845">
      <c r="A4845">
        <f>HYPERLINK("https://www.youtube.com/watch?v=1KtTAb9Tl6E", "Video")</f>
        <v/>
      </c>
      <c r="B4845" t="inlineStr">
        <is>
          <t>19:16</t>
        </is>
      </c>
      <c r="C4845" t="inlineStr">
        <is>
          <t>You're not paying the driver</t>
        </is>
      </c>
      <c r="D4845">
        <f>HYPERLINK("https://www.youtube.com/watch?v=1KtTAb9Tl6E&amp;t=1156s", "Go to time")</f>
        <v/>
      </c>
    </row>
    <row r="4846">
      <c r="A4846">
        <f>HYPERLINK("https://www.youtube.com/watch?v=1KtTAb9Tl6E", "Video")</f>
        <v/>
      </c>
      <c r="B4846" t="inlineStr">
        <is>
          <t>19:20</t>
        </is>
      </c>
      <c r="C4846" t="inlineStr">
        <is>
          <t>you're really only paying them
for the time that they drive.</t>
        </is>
      </c>
      <c r="D4846">
        <f>HYPERLINK("https://www.youtube.com/watch?v=1KtTAb9Tl6E&amp;t=1160s", "Go to time")</f>
        <v/>
      </c>
    </row>
    <row r="4847">
      <c r="A4847">
        <f>HYPERLINK("https://www.youtube.com/watch?v=1KtTAb9Tl6E", "Video")</f>
        <v/>
      </c>
      <c r="B4847" t="inlineStr">
        <is>
          <t>19:23</t>
        </is>
      </c>
      <c r="C4847" t="inlineStr">
        <is>
          <t>New drivers might end up
getting paid somewhere</t>
        </is>
      </c>
      <c r="D4847">
        <f>HYPERLINK("https://www.youtube.com/watch?v=1KtTAb9Tl6E&amp;t=1163s", "Go to time")</f>
        <v/>
      </c>
    </row>
    <row r="4848">
      <c r="A4848">
        <f>HYPERLINK("https://www.youtube.com/watch?v=1KtTAb9Tl6E", "Video")</f>
        <v/>
      </c>
      <c r="B4848" t="inlineStr">
        <is>
          <t>19:32</t>
        </is>
      </c>
      <c r="C4848" t="inlineStr">
        <is>
          <t>that a new driver might earn somewhere</t>
        </is>
      </c>
      <c r="D4848">
        <f>HYPERLINK("https://www.youtube.com/watch?v=1KtTAb9Tl6E&amp;t=1172s", "Go to time")</f>
        <v/>
      </c>
    </row>
    <row r="4849">
      <c r="A4849">
        <f>HYPERLINK("https://www.youtube.com/watch?v=1KtTAb9Tl6E", "Video")</f>
        <v/>
      </c>
      <c r="B4849" t="inlineStr">
        <is>
          <t>19:41</t>
        </is>
      </c>
      <c r="C4849" t="inlineStr">
        <is>
          <t>Better paid drivers in that
long haul segment can work</t>
        </is>
      </c>
      <c r="D4849">
        <f>HYPERLINK("https://www.youtube.com/watch?v=1KtTAb9Tl6E&amp;t=1181s", "Go to time")</f>
        <v/>
      </c>
    </row>
    <row r="4850">
      <c r="A4850">
        <f>HYPERLINK("https://www.youtube.com/watch?v=1KtTAb9Tl6E", "Video")</f>
        <v/>
      </c>
      <c r="B4850" t="inlineStr">
        <is>
          <t>19:48</t>
        </is>
      </c>
      <c r="C4850" t="inlineStr">
        <is>
          <t>An experienced driver
for better companies can</t>
        </is>
      </c>
      <c r="D4850">
        <f>HYPERLINK("https://www.youtube.com/watch?v=1KtTAb9Tl6E&amp;t=1188s", "Go to time")</f>
        <v/>
      </c>
    </row>
    <row r="4851">
      <c r="A4851">
        <f>HYPERLINK("https://www.youtube.com/watch?v=1KtTAb9Tl6E", "Video")</f>
        <v/>
      </c>
      <c r="B4851" t="inlineStr">
        <is>
          <t>20:01</t>
        </is>
      </c>
      <c r="C4851" t="inlineStr">
        <is>
          <t>who have the kind of
commercial driver's license</t>
        </is>
      </c>
      <c r="D4851">
        <f>HYPERLINK("https://www.youtube.com/watch?v=1KtTAb9Tl6E&amp;t=1201s", "Go to time")</f>
        <v/>
      </c>
    </row>
    <row r="4852">
      <c r="A4852">
        <f>HYPERLINK("https://www.youtube.com/watch?v=1KtTAb9Tl6E", "Video")</f>
        <v/>
      </c>
      <c r="B4852" t="inlineStr">
        <is>
          <t>20:03</t>
        </is>
      </c>
      <c r="C4852" t="inlineStr">
        <is>
          <t>that would enable them to drive a truck,</t>
        </is>
      </c>
      <c r="D4852">
        <f>HYPERLINK("https://www.youtube.com/watch?v=1KtTAb9Tl6E&amp;t=1203s", "Go to time")</f>
        <v/>
      </c>
    </row>
    <row r="4853">
      <c r="A4853">
        <f>HYPERLINK("https://www.youtube.com/watch?v=1KtTAb9Tl6E", "Video")</f>
        <v/>
      </c>
      <c r="B4853" t="inlineStr">
        <is>
          <t>21:06</t>
        </is>
      </c>
      <c r="C4853" t="inlineStr">
        <is>
          <t>The driver turnover,</t>
        </is>
      </c>
      <c r="D4853">
        <f>HYPERLINK("https://www.youtube.com/watch?v=1KtTAb9Tl6E&amp;t=1266s", "Go to time")</f>
        <v/>
      </c>
    </row>
    <row r="4854">
      <c r="A4854">
        <f>HYPERLINK("https://www.youtube.com/watch?v=1KtTAb9Tl6E", "Video")</f>
        <v/>
      </c>
      <c r="B4854" t="inlineStr">
        <is>
          <t>21:09</t>
        </is>
      </c>
      <c r="C4854" t="inlineStr">
        <is>
          <t>because we lost a few good drivers</t>
        </is>
      </c>
      <c r="D4854">
        <f>HYPERLINK("https://www.youtube.com/watch?v=1KtTAb9Tl6E&amp;t=1269s", "Go to time")</f>
        <v/>
      </c>
    </row>
    <row r="4855">
      <c r="A4855">
        <f>HYPERLINK("https://www.youtube.com/watch?v=1KtTAb9Tl6E", "Video")</f>
        <v/>
      </c>
      <c r="B4855" t="inlineStr">
        <is>
          <t>21:11</t>
        </is>
      </c>
      <c r="C4855" t="inlineStr">
        <is>
          <t>and we can't replace the good drivers</t>
        </is>
      </c>
      <c r="D4855">
        <f>HYPERLINK("https://www.youtube.com/watch?v=1KtTAb9Tl6E&amp;t=1271s", "Go to time")</f>
        <v/>
      </c>
    </row>
    <row r="4856">
      <c r="A4856">
        <f>HYPERLINK("https://www.youtube.com/watch?v=1KtTAb9Tl6E", "Video")</f>
        <v/>
      </c>
      <c r="B4856" t="inlineStr">
        <is>
          <t>21:19</t>
        </is>
      </c>
      <c r="C4856" t="inlineStr">
        <is>
          <t>our drivers, that were
currently on the road,</t>
        </is>
      </c>
      <c r="D4856">
        <f>HYPERLINK("https://www.youtube.com/watch?v=1KtTAb9Tl6E&amp;t=1279s", "Go to time")</f>
        <v/>
      </c>
    </row>
    <row r="4857">
      <c r="A4857">
        <f>HYPERLINK("https://www.youtube.com/watch?v=1KtTAb9Tl6E", "Video")</f>
        <v/>
      </c>
      <c r="B4857" t="inlineStr">
        <is>
          <t>21:32</t>
        </is>
      </c>
      <c r="C4857" t="inlineStr">
        <is>
          <t>Hold on, this is a driver.</t>
        </is>
      </c>
      <c r="D4857">
        <f>HYPERLINK("https://www.youtube.com/watch?v=1KtTAb9Tl6E&amp;t=1292s", "Go to time")</f>
        <v/>
      </c>
    </row>
    <row r="4858">
      <c r="A4858">
        <f>HYPERLINK("https://www.youtube.com/watch?v=1KtTAb9Tl6E", "Video")</f>
        <v/>
      </c>
      <c r="B4858" t="inlineStr">
        <is>
          <t>21:49</t>
        </is>
      </c>
      <c r="C4858" t="inlineStr">
        <is>
          <t>Alrighty, drive safe.</t>
        </is>
      </c>
      <c r="D4858">
        <f>HYPERLINK("https://www.youtube.com/watch?v=1KtTAb9Tl6E&amp;t=1309s", "Go to time")</f>
        <v/>
      </c>
    </row>
    <row r="4859">
      <c r="A4859">
        <f>HYPERLINK("https://www.youtube.com/watch?v=1KtTAb9Tl6E", "Video")</f>
        <v/>
      </c>
      <c r="B4859" t="inlineStr">
        <is>
          <t>21:53</t>
        </is>
      </c>
      <c r="C4859" t="inlineStr">
        <is>
          <t>We've had trucks sitting
for not having drivers,</t>
        </is>
      </c>
      <c r="D4859">
        <f>HYPERLINK("https://www.youtube.com/watch?v=1KtTAb9Tl6E&amp;t=1313s", "Go to time")</f>
        <v/>
      </c>
    </row>
    <row r="4860">
      <c r="A4860">
        <f>HYPERLINK("https://www.youtube.com/watch?v=1KtTAb9Tl6E", "Video")</f>
        <v/>
      </c>
      <c r="B4860" t="inlineStr">
        <is>
          <t>22:08</t>
        </is>
      </c>
      <c r="C4860" t="inlineStr">
        <is>
          <t>but again, I should
because I'm short drivers.</t>
        </is>
      </c>
      <c r="D4860">
        <f>HYPERLINK("https://www.youtube.com/watch?v=1KtTAb9Tl6E&amp;t=1328s", "Go to time")</f>
        <v/>
      </c>
    </row>
    <row r="4861">
      <c r="A4861">
        <f>HYPERLINK("https://www.youtube.com/watch?v=1KtTAb9Tl6E", "Video")</f>
        <v/>
      </c>
      <c r="B4861" t="inlineStr">
        <is>
          <t>22:13</t>
        </is>
      </c>
      <c r="C4861" t="inlineStr">
        <is>
          <t>So I'll drive the truck myself,</t>
        </is>
      </c>
      <c r="D4861">
        <f>HYPERLINK("https://www.youtube.com/watch?v=1KtTAb9Tl6E&amp;t=1333s", "Go to time")</f>
        <v/>
      </c>
    </row>
    <row r="4862">
      <c r="A4862">
        <f>HYPERLINK("https://www.youtube.com/watch?v=1KtTAb9Tl6E", "Video")</f>
        <v/>
      </c>
      <c r="B4862" t="inlineStr">
        <is>
          <t>22:31</t>
        </is>
      </c>
      <c r="C4862" t="inlineStr">
        <is>
          <t>To recruit more drivers,</t>
        </is>
      </c>
      <c r="D4862">
        <f>HYPERLINK("https://www.youtube.com/watch?v=1KtTAb9Tl6E&amp;t=1351s", "Go to time")</f>
        <v/>
      </c>
    </row>
    <row r="4863">
      <c r="A4863">
        <f>HYPERLINK("https://www.youtube.com/watch?v=1KtTAb9Tl6E", "Video")</f>
        <v/>
      </c>
      <c r="B4863" t="inlineStr">
        <is>
          <t>24:34</t>
        </is>
      </c>
      <c r="C4863" t="inlineStr">
        <is>
          <t>The average truck driver is aging,</t>
        </is>
      </c>
      <c r="D4863">
        <f>HYPERLINK("https://www.youtube.com/watch?v=1KtTAb9Tl6E&amp;t=1474s", "Go to time")</f>
        <v/>
      </c>
    </row>
    <row r="4864">
      <c r="A4864">
        <f>HYPERLINK("https://www.youtube.com/watch?v=1KtTAb9Tl6E", "Video")</f>
        <v/>
      </c>
      <c r="B4864" t="inlineStr">
        <is>
          <t>29:19</t>
        </is>
      </c>
      <c r="C4864" t="inlineStr">
        <is>
          <t>really to drive the next generation</t>
        </is>
      </c>
      <c r="D4864">
        <f>HYPERLINK("https://www.youtube.com/watch?v=1KtTAb9Tl6E&amp;t=1759s", "Go to time")</f>
        <v/>
      </c>
    </row>
    <row r="4865">
      <c r="A4865">
        <f>HYPERLINK("https://www.youtube.com/watch?v=1KtTAb9Tl6E", "Video")</f>
        <v/>
      </c>
      <c r="B4865" t="inlineStr">
        <is>
          <t>38:26</t>
        </is>
      </c>
      <c r="C4865" t="inlineStr">
        <is>
          <t>it's the last mile delivery driver</t>
        </is>
      </c>
      <c r="D4865">
        <f>HYPERLINK("https://www.youtube.com/watch?v=1KtTAb9Tl6E&amp;t=2306s", "Go to time")</f>
        <v/>
      </c>
    </row>
    <row r="4866">
      <c r="A4866">
        <f>HYPERLINK("https://www.youtube.com/watch?v=1KtTAb9Tl6E", "Video")</f>
        <v/>
      </c>
      <c r="B4866" t="inlineStr">
        <is>
          <t>38:37</t>
        </is>
      </c>
      <c r="C4866" t="inlineStr">
        <is>
          <t>We might even know our local UPS driver</t>
        </is>
      </c>
      <c r="D4866">
        <f>HYPERLINK("https://www.youtube.com/watch?v=1KtTAb9Tl6E&amp;t=2317s", "Go to time")</f>
        <v/>
      </c>
    </row>
    <row r="4867">
      <c r="A4867">
        <f>HYPERLINK("https://www.youtube.com/watch?v=1KtTAb9Tl6E", "Video")</f>
        <v/>
      </c>
      <c r="B4867" t="inlineStr">
        <is>
          <t>39:31</t>
        </is>
      </c>
      <c r="C4867" t="inlineStr">
        <is>
          <t>to drive all of those delivery vans.</t>
        </is>
      </c>
      <c r="D4867">
        <f>HYPERLINK("https://www.youtube.com/watch?v=1KtTAb9Tl6E&amp;t=2371s", "Go to time")</f>
        <v/>
      </c>
    </row>
    <row r="4868">
      <c r="A4868">
        <f>HYPERLINK("https://www.youtube.com/watch?v=1KtTAb9Tl6E", "Video")</f>
        <v/>
      </c>
      <c r="B4868" t="inlineStr">
        <is>
          <t>40:10</t>
        </is>
      </c>
      <c r="C4868" t="inlineStr">
        <is>
          <t>they're training these drivers</t>
        </is>
      </c>
      <c r="D4868">
        <f>HYPERLINK("https://www.youtube.com/watch?v=1KtTAb9Tl6E&amp;t=2410s", "Go to time")</f>
        <v/>
      </c>
    </row>
    <row r="4869">
      <c r="A4869">
        <f>HYPERLINK("https://www.youtube.com/watch?v=1KtTAb9Tl6E", "Video")</f>
        <v/>
      </c>
      <c r="B4869" t="inlineStr">
        <is>
          <t>42:34</t>
        </is>
      </c>
      <c r="C4869" t="inlineStr">
        <is>
          <t>UPS drivers, for instance,</t>
        </is>
      </c>
      <c r="D4869">
        <f>HYPERLINK("https://www.youtube.com/watch?v=1KtTAb9Tl6E&amp;t=2554s", "Go to time")</f>
        <v/>
      </c>
    </row>
    <row r="4870">
      <c r="A4870">
        <f>HYPERLINK("https://www.youtube.com/watch?v=1KtTAb9Tl6E", "Video")</f>
        <v/>
      </c>
      <c r="B4870" t="inlineStr">
        <is>
          <t>42:56</t>
        </is>
      </c>
      <c r="C4870" t="inlineStr">
        <is>
          <t>toward contract drivers,</t>
        </is>
      </c>
      <c r="D4870">
        <f>HYPERLINK("https://www.youtube.com/watch?v=1KtTAb9Tl6E&amp;t=2576s", "Go to time")</f>
        <v/>
      </c>
    </row>
    <row r="4871">
      <c r="A4871">
        <f>HYPERLINK("https://www.youtube.com/watch?v=1KtTAb9Tl6E", "Video")</f>
        <v/>
      </c>
      <c r="B4871" t="inlineStr">
        <is>
          <t>43:22</t>
        </is>
      </c>
      <c r="C4871" t="inlineStr">
        <is>
          <t>It's almost exclusively driven by Amazon,</t>
        </is>
      </c>
      <c r="D4871">
        <f>HYPERLINK("https://www.youtube.com/watch?v=1KtTAb9Tl6E&amp;t=2602s", "Go to time")</f>
        <v/>
      </c>
    </row>
    <row r="4872">
      <c r="A4872">
        <f>HYPERLINK("https://www.youtube.com/watch?v=1KtTAb9Tl6E", "Video")</f>
        <v/>
      </c>
      <c r="B4872" t="inlineStr">
        <is>
          <t>43:29</t>
        </is>
      </c>
      <c r="C4872" t="inlineStr">
        <is>
          <t>where people drive their
own personal vehicles.</t>
        </is>
      </c>
      <c r="D4872">
        <f>HYPERLINK("https://www.youtube.com/watch?v=1KtTAb9Tl6E&amp;t=2609s", "Go to time")</f>
        <v/>
      </c>
    </row>
    <row r="4873">
      <c r="A4873">
        <f>HYPERLINK("https://www.youtube.com/watch?v=1KtTAb9Tl6E", "Video")</f>
        <v/>
      </c>
      <c r="B4873" t="inlineStr">
        <is>
          <t>45:52</t>
        </is>
      </c>
      <c r="C4873" t="inlineStr">
        <is>
          <t>you can hire up to 100 drivers</t>
        </is>
      </c>
      <c r="D4873">
        <f>HYPERLINK("https://www.youtube.com/watch?v=1KtTAb9Tl6E&amp;t=2752s", "Go to time")</f>
        <v/>
      </c>
    </row>
    <row r="4874">
      <c r="A4874">
        <f>HYPERLINK("https://www.youtube.com/watch?v=1KtTAb9Tl6E", "Video")</f>
        <v/>
      </c>
      <c r="B4874" t="inlineStr">
        <is>
          <t>46:06</t>
        </is>
      </c>
      <c r="C4874" t="inlineStr">
        <is>
          <t>and then your drivers of
your franchise will take</t>
        </is>
      </c>
      <c r="D4874">
        <f>HYPERLINK("https://www.youtube.com/watch?v=1KtTAb9Tl6E&amp;t=2766s", "Go to time")</f>
        <v/>
      </c>
    </row>
    <row r="4875">
      <c r="A4875">
        <f>HYPERLINK("https://www.youtube.com/watch?v=1KtTAb9Tl6E", "Video")</f>
        <v/>
      </c>
      <c r="B4875" t="inlineStr">
        <is>
          <t>46:12</t>
        </is>
      </c>
      <c r="C4875" t="inlineStr">
        <is>
          <t>and drive to the fulfillment center,</t>
        </is>
      </c>
      <c r="D4875">
        <f>HYPERLINK("https://www.youtube.com/watch?v=1KtTAb9Tl6E&amp;t=2772s", "Go to time")</f>
        <v/>
      </c>
    </row>
    <row r="4876">
      <c r="A4876">
        <f>HYPERLINK("https://www.youtube.com/watch?v=1KtTAb9Tl6E", "Video")</f>
        <v/>
      </c>
      <c r="B4876" t="inlineStr">
        <is>
          <t>47:06</t>
        </is>
      </c>
      <c r="C4876" t="inlineStr">
        <is>
          <t>when drivers are pushed to make more</t>
        </is>
      </c>
      <c r="D4876">
        <f>HYPERLINK("https://www.youtube.com/watch?v=1KtTAb9Tl6E&amp;t=2826s", "Go to time")</f>
        <v/>
      </c>
    </row>
    <row r="4877">
      <c r="A4877">
        <f>HYPERLINK("https://www.youtube.com/watch?v=1KtTAb9Tl6E", "Video")</f>
        <v/>
      </c>
      <c r="B4877" t="inlineStr">
        <is>
          <t>52:15</t>
        </is>
      </c>
      <c r="C4877" t="inlineStr">
        <is>
          <t>That was really driven by
the labor cost differential,</t>
        </is>
      </c>
      <c r="D4877">
        <f>HYPERLINK("https://www.youtube.com/watch?v=1KtTAb9Tl6E&amp;t=3135s", "Go to time")</f>
        <v/>
      </c>
    </row>
    <row r="4878">
      <c r="A4878">
        <f>HYPERLINK("https://www.youtube.com/watch?v=kYsrGaHX7M4", "Video")</f>
        <v/>
      </c>
      <c r="B4878" t="inlineStr">
        <is>
          <t>2:20</t>
        </is>
      </c>
      <c r="C4878" t="inlineStr">
        <is>
          <t>that these temperature driven trends</t>
        </is>
      </c>
      <c r="D4878">
        <f>HYPERLINK("https://www.youtube.com/watch?v=kYsrGaHX7M4&amp;t=140s", "Go to time")</f>
        <v/>
      </c>
    </row>
    <row r="4879">
      <c r="A4879">
        <f>HYPERLINK("https://www.youtube.com/watch?v=P2VO6ELhwQY", "Video")</f>
        <v/>
      </c>
      <c r="B4879" t="inlineStr">
        <is>
          <t>1:19</t>
        </is>
      </c>
      <c r="C4879" t="inlineStr">
        <is>
          <t>after creating an ai driven news</t>
        </is>
      </c>
      <c r="D4879">
        <f>HYPERLINK("https://www.youtube.com/watch?v=P2VO6ELhwQY&amp;t=79s", "Go to time")</f>
        <v/>
      </c>
    </row>
    <row r="4880">
      <c r="A4880">
        <f>HYPERLINK("https://www.youtube.com/watch?v=j5yCz_UN5CE", "Video")</f>
        <v/>
      </c>
      <c r="B4880" t="inlineStr">
        <is>
          <t>3:46</t>
        </is>
      </c>
      <c r="C4880" t="inlineStr">
        <is>
          <t>So, any truck that drives
up goes into this garage,</t>
        </is>
      </c>
      <c r="D4880">
        <f>HYPERLINK("https://www.youtube.com/watch?v=j5yCz_UN5CE&amp;t=226s", "Go to time")</f>
        <v/>
      </c>
    </row>
    <row r="4881">
      <c r="A4881">
        <f>HYPERLINK("https://www.youtube.com/watch?v=ALbz7bCmdLk", "Video")</f>
        <v/>
      </c>
      <c r="B4881" t="inlineStr">
        <is>
          <t>0:27</t>
        </is>
      </c>
      <c r="C4881" t="inlineStr">
        <is>
          <t>drivers is it really texting at the this</t>
        </is>
      </c>
      <c r="D4881">
        <f>HYPERLINK("https://www.youtube.com/watch?v=ALbz7bCmdLk&amp;t=27s", "Go to time")</f>
        <v/>
      </c>
    </row>
    <row r="4882">
      <c r="A4882">
        <f>HYPERLINK("https://www.youtube.com/watch?v=ALbz7bCmdLk", "Video")</f>
        <v/>
      </c>
      <c r="B4882" t="inlineStr">
        <is>
          <t>1:40</t>
        </is>
      </c>
      <c r="C4882" t="inlineStr">
        <is>
          <t>therefore the drivers must be getting</t>
        </is>
      </c>
      <c r="D4882">
        <f>HYPERLINK("https://www.youtube.com/watch?v=ALbz7bCmdLk&amp;t=100s", "Go to time")</f>
        <v/>
      </c>
    </row>
    <row r="4883">
      <c r="A4883">
        <f>HYPERLINK("https://www.youtube.com/watch?v=2-LQg6cG2FI", "Video")</f>
        <v/>
      </c>
      <c r="B4883" t="inlineStr">
        <is>
          <t>2:06</t>
        </is>
      </c>
      <c r="C4883" t="inlineStr">
        <is>
          <t>actually helped drive up savings</t>
        </is>
      </c>
      <c r="D4883">
        <f>HYPERLINK("https://www.youtube.com/watch?v=2-LQg6cG2FI&amp;t=126s", "Go to time")</f>
        <v/>
      </c>
    </row>
    <row r="4884">
      <c r="A4884">
        <f>HYPERLINK("https://www.youtube.com/watch?v=lo9UxC6dfG4", "Video")</f>
        <v/>
      </c>
      <c r="B4884" t="inlineStr">
        <is>
          <t>6:26</t>
        </is>
      </c>
      <c r="C4884" t="inlineStr">
        <is>
          <t>we're in an enrollment-driven industry,</t>
        </is>
      </c>
      <c r="D4884">
        <f>HYPERLINK("https://www.youtube.com/watch?v=lo9UxC6dfG4&amp;t=386s", "Go to time")</f>
        <v/>
      </c>
    </row>
    <row r="4885">
      <c r="A4885">
        <f>HYPERLINK("https://www.youtube.com/watch?v=BWW3HAzictE", "Video")</f>
        <v/>
      </c>
      <c r="B4885" t="inlineStr">
        <is>
          <t>6:08</t>
        </is>
      </c>
      <c r="C4885" t="inlineStr">
        <is>
          <t>World in a transparent and values-driven</t>
        </is>
      </c>
      <c r="D4885">
        <f>HYPERLINK("https://www.youtube.com/watch?v=BWW3HAzictE&amp;t=368s", "Go to time")</f>
        <v/>
      </c>
    </row>
    <row r="4886">
      <c r="A4886">
        <f>HYPERLINK("https://www.youtube.com/watch?v=KhML061Avho", "Video")</f>
        <v/>
      </c>
      <c r="B4886" t="inlineStr">
        <is>
          <t>0:08</t>
        </is>
      </c>
      <c r="C4886" t="inlineStr">
        <is>
          <t>Motor Show from driverless cars cleaner</t>
        </is>
      </c>
      <c r="D4886">
        <f>HYPERLINK("https://www.youtube.com/watch?v=KhML061Avho&amp;t=8s", "Go to time")</f>
        <v/>
      </c>
    </row>
    <row r="4887">
      <c r="A4887">
        <f>HYPERLINK("https://www.youtube.com/watch?v=KhML061Avho", "Video")</f>
        <v/>
      </c>
      <c r="B4887" t="inlineStr">
        <is>
          <t>0:24</t>
        </is>
      </c>
      <c r="C4887" t="inlineStr">
        <is>
          <t>driver can choose when to drive it or to</t>
        </is>
      </c>
      <c r="D4887">
        <f>HYPERLINK("https://www.youtube.com/watch?v=KhML061Avho&amp;t=24s", "Go to time")</f>
        <v/>
      </c>
    </row>
    <row r="4888">
      <c r="A4888">
        <f>HYPERLINK("https://www.youtube.com/watch?v=wwIjdijsiME", "Video")</f>
        <v/>
      </c>
      <c r="B4888" t="inlineStr">
        <is>
          <t>1:29</t>
        </is>
      </c>
      <c r="C4888" t="inlineStr">
        <is>
          <t>pretty interesting how it's been driven</t>
        </is>
      </c>
      <c r="D4888">
        <f>HYPERLINK("https://www.youtube.com/watch?v=wwIjdijsiME&amp;t=89s", "Go to time")</f>
        <v/>
      </c>
    </row>
    <row r="4889">
      <c r="A4889">
        <f>HYPERLINK("https://www.youtube.com/watch?v=1PqKSio8o2Q", "Video")</f>
        <v/>
      </c>
      <c r="B4889" t="inlineStr">
        <is>
          <t>1:31</t>
        </is>
      </c>
      <c r="C4889" t="inlineStr">
        <is>
          <t>And so I think the drive to
make themselves indispensable</t>
        </is>
      </c>
      <c r="D4889">
        <f>HYPERLINK("https://www.youtube.com/watch?v=1PqKSio8o2Q&amp;t=91s", "Go to time")</f>
        <v/>
      </c>
    </row>
    <row r="4890">
      <c r="A4890">
        <f>HYPERLINK("https://www.youtube.com/watch?v=pjafb_7Bzio", "Video")</f>
        <v/>
      </c>
      <c r="B4890" t="inlineStr">
        <is>
          <t>1:58</t>
        </is>
      </c>
      <c r="C4890" t="inlineStr">
        <is>
          <t>those passengers, the driver and the</t>
        </is>
      </c>
      <c r="D4890">
        <f>HYPERLINK("https://www.youtube.com/watch?v=pjafb_7Bzio&amp;t=118s", "Go to time")</f>
        <v/>
      </c>
    </row>
    <row r="4891">
      <c r="A4891">
        <f>HYPERLINK("https://www.youtube.com/watch?v=YNgvi72OYrg", "Video")</f>
        <v/>
      </c>
      <c r="B4891" t="inlineStr">
        <is>
          <t>3:17</t>
        </is>
      </c>
      <c r="C4891" t="inlineStr">
        <is>
          <t>drive you know how do you sort of</t>
        </is>
      </c>
      <c r="D4891">
        <f>HYPERLINK("https://www.youtube.com/watch?v=YNgvi72OYrg&amp;t=197s", "Go to time")</f>
        <v/>
      </c>
    </row>
    <row r="4892">
      <c r="A4892">
        <f>HYPERLINK("https://www.youtube.com/watch?v=9dFVpq-E3TQ", "Video")</f>
        <v/>
      </c>
      <c r="B4892" t="inlineStr">
        <is>
          <t>2:37</t>
        </is>
      </c>
      <c r="C4892" t="inlineStr">
        <is>
          <t>Mike said Ian you you have to drive the</t>
        </is>
      </c>
      <c r="D4892">
        <f>HYPERLINK("https://www.youtube.com/watch?v=9dFVpq-E3TQ&amp;t=157s", "Go to time")</f>
        <v/>
      </c>
    </row>
    <row r="4893">
      <c r="A4893">
        <f>HYPERLINK("https://www.youtube.com/watch?v=9dFVpq-E3TQ", "Video")</f>
        <v/>
      </c>
      <c r="B4893" t="inlineStr">
        <is>
          <t>2:38</t>
        </is>
      </c>
      <c r="C4893" t="inlineStr">
        <is>
          <t>Rolls-Royce get in the car and drive the</t>
        </is>
      </c>
      <c r="D4893">
        <f>HYPERLINK("https://www.youtube.com/watch?v=9dFVpq-E3TQ&amp;t=158s", "Go to time")</f>
        <v/>
      </c>
    </row>
    <row r="4894">
      <c r="A4894">
        <f>HYPERLINK("https://www.youtube.com/watch?v=RL0uIwWset4", "Video")</f>
        <v/>
      </c>
      <c r="B4894" t="inlineStr">
        <is>
          <t>2:11</t>
        </is>
      </c>
      <c r="C4894" t="inlineStr">
        <is>
          <t>responsibilities uh one is a driver so</t>
        </is>
      </c>
      <c r="D4894">
        <f>HYPERLINK("https://www.youtube.com/watch?v=RL0uIwWset4&amp;t=131s", "Go to time")</f>
        <v/>
      </c>
    </row>
    <row r="4895">
      <c r="A4895">
        <f>HYPERLINK("https://www.youtube.com/watch?v=kILXXaqspcI", "Video")</f>
        <v/>
      </c>
      <c r="B4895" t="inlineStr">
        <is>
          <t>1:15</t>
        </is>
      </c>
      <c r="C4895" t="inlineStr">
        <is>
          <t>issue you don't even need a driver's</t>
        </is>
      </c>
      <c r="D4895">
        <f>HYPERLINK("https://www.youtube.com/watch?v=kILXXaqspcI&amp;t=75s", "Go to time")</f>
        <v/>
      </c>
    </row>
    <row r="4896">
      <c r="A4896">
        <f>HYPERLINK("https://www.youtube.com/watch?v=b7ex8srthHA", "Video")</f>
        <v/>
      </c>
      <c r="B4896" t="inlineStr">
        <is>
          <t>3:25</t>
        </is>
      </c>
      <c r="C4896" t="inlineStr">
        <is>
          <t>we had a writer who had to drive an Uber.</t>
        </is>
      </c>
      <c r="D4896">
        <f>HYPERLINK("https://www.youtube.com/watch?v=b7ex8srthHA&amp;t=205s", "Go to time")</f>
        <v/>
      </c>
    </row>
    <row r="4897">
      <c r="A4897">
        <f>HYPERLINK("https://www.youtube.com/watch?v=y6IvsCuYKYg", "Video")</f>
        <v/>
      </c>
      <c r="B4897" t="inlineStr">
        <is>
          <t>0:12</t>
        </is>
      </c>
      <c r="C4897" t="inlineStr">
        <is>
          <t>the drive it gets really worse so taking</t>
        </is>
      </c>
      <c r="D4897">
        <f>HYPERLINK("https://www.youtube.com/watch?v=y6IvsCuYKYg&amp;t=12s", "Go to time")</f>
        <v/>
      </c>
    </row>
    <row r="4898">
      <c r="A4898">
        <f>HYPERLINK("https://www.youtube.com/watch?v=BW_bQJAucbE", "Video")</f>
        <v/>
      </c>
      <c r="B4898" t="inlineStr">
        <is>
          <t>4:08</t>
        </is>
      </c>
      <c r="C4898" t="inlineStr">
        <is>
          <t>in shopping centers on your drive to work.</t>
        </is>
      </c>
      <c r="D4898">
        <f>HYPERLINK("https://www.youtube.com/watch?v=BW_bQJAucbE&amp;t=248s", "Go to time")</f>
        <v/>
      </c>
    </row>
    <row r="4899">
      <c r="A4899">
        <f>HYPERLINK("https://www.youtube.com/watch?v=6B9pA4y6-oc", "Video")</f>
        <v/>
      </c>
      <c r="B4899" t="inlineStr">
        <is>
          <t>2:20</t>
        </is>
      </c>
      <c r="C4899" t="inlineStr">
        <is>
          <t>least geopolitically driven</t>
        </is>
      </c>
      <c r="D4899">
        <f>HYPERLINK("https://www.youtube.com/watch?v=6B9pA4y6-oc&amp;t=140s", "Go to time")</f>
        <v/>
      </c>
    </row>
    <row r="4900">
      <c r="A4900">
        <f>HYPERLINK("https://www.youtube.com/watch?v=6B9pA4y6-oc", "Video")</f>
        <v/>
      </c>
      <c r="B4900" t="inlineStr">
        <is>
          <t>3:09</t>
        </is>
      </c>
      <c r="C4900" t="inlineStr">
        <is>
          <t>and you say we're going to drive</t>
        </is>
      </c>
      <c r="D4900">
        <f>HYPERLINK("https://www.youtube.com/watch?v=6B9pA4y6-oc&amp;t=189s", "Go to time")</f>
        <v/>
      </c>
    </row>
    <row r="4901">
      <c r="A4901">
        <f>HYPERLINK("https://www.youtube.com/watch?v=ksegrJ4cOOo", "Video")</f>
        <v/>
      </c>
      <c r="B4901" t="inlineStr">
        <is>
          <t>2:07</t>
        </is>
      </c>
      <c r="C4901" t="inlineStr">
        <is>
          <t>that you could drive your car over them</t>
        </is>
      </c>
      <c r="D4901">
        <f>HYPERLINK("https://www.youtube.com/watch?v=ksegrJ4cOOo&amp;t=127s", "Go to time")</f>
        <v/>
      </c>
    </row>
    <row r="4902">
      <c r="A4902">
        <f>HYPERLINK("https://www.youtube.com/watch?v=mDkSehPF0M8", "Video")</f>
        <v/>
      </c>
      <c r="B4902" t="inlineStr">
        <is>
          <t>1:33</t>
        </is>
      </c>
      <c r="C4902" t="inlineStr">
        <is>
          <t>and that drives cost</t>
        </is>
      </c>
      <c r="D4902">
        <f>HYPERLINK("https://www.youtube.com/watch?v=mDkSehPF0M8&amp;t=93s", "Go to time")</f>
        <v/>
      </c>
    </row>
    <row r="4903">
      <c r="A4903">
        <f>HYPERLINK("https://www.youtube.com/watch?v=JjjkbcphMmA", "Video")</f>
        <v/>
      </c>
      <c r="B4903" t="inlineStr">
        <is>
          <t>2:59</t>
        </is>
      </c>
      <c r="C4903" t="inlineStr">
        <is>
          <t>that they're a little
bit more design-driven.</t>
        </is>
      </c>
      <c r="D4903">
        <f>HYPERLINK("https://www.youtube.com/watch?v=JjjkbcphMmA&amp;t=179s", "Go to time")</f>
        <v/>
      </c>
    </row>
    <row r="4904">
      <c r="A4904">
        <f>HYPERLINK("https://www.youtube.com/watch?v=2DgiAIbTuRE", "Video")</f>
        <v/>
      </c>
      <c r="B4904" t="inlineStr">
        <is>
          <t>2:03</t>
        </is>
      </c>
      <c r="C4904" t="inlineStr">
        <is>
          <t>driven by tech stocks which are commonly</t>
        </is>
      </c>
      <c r="D4904">
        <f>HYPERLINK("https://www.youtube.com/watch?v=2DgiAIbTuRE&amp;t=123s", "Go to time")</f>
        <v/>
      </c>
    </row>
    <row r="4905">
      <c r="A4905">
        <f>HYPERLINK("https://www.youtube.com/watch?v=rKaoNaoqemM", "Video")</f>
        <v/>
      </c>
      <c r="B4905" t="inlineStr">
        <is>
          <t>2:24</t>
        </is>
      </c>
      <c r="C4905" t="inlineStr">
        <is>
          <t>to be a significant
financial driver for Gilead.</t>
        </is>
      </c>
      <c r="D4905">
        <f>HYPERLINK("https://www.youtube.com/watch?v=rKaoNaoqemM&amp;t=144s", "Go to time")</f>
        <v/>
      </c>
    </row>
    <row r="4906">
      <c r="A4906">
        <f>HYPERLINK("https://www.youtube.com/watch?v=5nVmYrcmNKI", "Video")</f>
        <v/>
      </c>
      <c r="B4906" t="inlineStr">
        <is>
          <t>0:07</t>
        </is>
      </c>
      <c r="C4906" t="inlineStr">
        <is>
          <t>Camp after a 5-day drive from the forest</t>
        </is>
      </c>
      <c r="D4906">
        <f>HYPERLINK("https://www.youtube.com/watch?v=5nVmYrcmNKI&amp;t=7s", "Go to time")</f>
        <v/>
      </c>
    </row>
    <row r="4907">
      <c r="A4907">
        <f>HYPERLINK("https://www.youtube.com/watch?v=hWDp9QCLb1c", "Video")</f>
        <v/>
      </c>
      <c r="B4907" t="inlineStr">
        <is>
          <t>0:54</t>
        </is>
      </c>
      <c r="C4907" t="inlineStr">
        <is>
          <t>largely driven by those high energy costs.</t>
        </is>
      </c>
      <c r="D4907">
        <f>HYPERLINK("https://www.youtube.com/watch?v=hWDp9QCLb1c&amp;t=54s", "Go to time")</f>
        <v/>
      </c>
    </row>
    <row r="4908">
      <c r="A4908">
        <f>HYPERLINK("https://www.youtube.com/watch?v=hWDp9QCLb1c", "Video")</f>
        <v/>
      </c>
      <c r="B4908" t="inlineStr">
        <is>
          <t>2:05</t>
        </is>
      </c>
      <c r="C4908" t="inlineStr">
        <is>
          <t>Strikes from workers
such as train drivers,</t>
        </is>
      </c>
      <c r="D4908">
        <f>HYPERLINK("https://www.youtube.com/watch?v=hWDp9QCLb1c&amp;t=125s", "Go to time")</f>
        <v/>
      </c>
    </row>
    <row r="4909">
      <c r="A4909">
        <f>HYPERLINK("https://www.youtube.com/watch?v=WRwyw2A84iU", "Video")</f>
        <v/>
      </c>
      <c r="B4909" t="inlineStr">
        <is>
          <t>1:43</t>
        </is>
      </c>
      <c r="C4909" t="inlineStr">
        <is>
          <t>this tax break drives up home prices so</t>
        </is>
      </c>
      <c r="D4909">
        <f>HYPERLINK("https://www.youtube.com/watch?v=WRwyw2A84iU&amp;t=103s", "Go to time")</f>
        <v/>
      </c>
    </row>
    <row r="4910">
      <c r="A4910">
        <f>HYPERLINK("https://www.youtube.com/watch?v=q80O6cqD3_M", "Video")</f>
        <v/>
      </c>
      <c r="B4910" t="inlineStr">
        <is>
          <t>0:10</t>
        </is>
      </c>
      <c r="C4910" t="inlineStr">
        <is>
          <t>anxiety to drive his</t>
        </is>
      </c>
      <c r="D4910">
        <f>HYPERLINK("https://www.youtube.com/watch?v=q80O6cqD3_M&amp;t=10s", "Go to time")</f>
        <v/>
      </c>
    </row>
    <row r="4911">
      <c r="A4911">
        <f>HYPERLINK("https://www.youtube.com/watch?v=ygM7Z6I9rBg", "Video")</f>
        <v/>
      </c>
      <c r="B4911" t="inlineStr">
        <is>
          <t>1:43</t>
        </is>
      </c>
      <c r="C4911" t="inlineStr">
        <is>
          <t>- [Noemie] Teachers, train
drivers, and oil refinery staff</t>
        </is>
      </c>
      <c r="D4911">
        <f>HYPERLINK("https://www.youtube.com/watch?v=ygM7Z6I9rBg&amp;t=103s", "Go to time")</f>
        <v/>
      </c>
    </row>
    <row r="4912">
      <c r="A4912">
        <f>HYPERLINK("https://www.youtube.com/watch?v=RAHzT68l6tM", "Video")</f>
        <v/>
      </c>
      <c r="B4912" t="inlineStr">
        <is>
          <t>0:51</t>
        </is>
      </c>
      <c r="C4912" t="inlineStr">
        <is>
          <t>my driver's license or passport?</t>
        </is>
      </c>
      <c r="D4912">
        <f>HYPERLINK("https://www.youtube.com/watch?v=RAHzT68l6tM&amp;t=51s", "Go to time")</f>
        <v/>
      </c>
    </row>
    <row r="4913">
      <c r="A4913">
        <f>HYPERLINK("https://www.youtube.com/watch?v=RAHzT68l6tM", "Video")</f>
        <v/>
      </c>
      <c r="B4913" t="inlineStr">
        <is>
          <t>3:31</t>
        </is>
      </c>
      <c r="C4913" t="inlineStr">
        <is>
          <t>your driver's license, but
the privacy concerns are real</t>
        </is>
      </c>
      <c r="D4913">
        <f>HYPERLINK("https://www.youtube.com/watch?v=RAHzT68l6tM&amp;t=211s", "Go to time")</f>
        <v/>
      </c>
    </row>
    <row r="4914">
      <c r="A4914">
        <f>HYPERLINK("https://www.youtube.com/watch?v=6mWeBUi44r0", "Video")</f>
        <v/>
      </c>
      <c r="B4914" t="inlineStr">
        <is>
          <t>2:59</t>
        </is>
      </c>
      <c r="C4914" t="inlineStr">
        <is>
          <t>and gasoline prices has
been a main driver of that</t>
        </is>
      </c>
      <c r="D4914">
        <f>HYPERLINK("https://www.youtube.com/watch?v=6mWeBUi44r0&amp;t=179s", "Go to time")</f>
        <v/>
      </c>
    </row>
    <row r="4915">
      <c r="A4915">
        <f>HYPERLINK("https://www.youtube.com/watch?v=NqP-LVtY3Gg", "Video")</f>
        <v/>
      </c>
      <c r="B4915" t="inlineStr">
        <is>
          <t>2:11</t>
        </is>
      </c>
      <c r="C4915" t="inlineStr">
        <is>
          <t>Astro might be a better driver than her.</t>
        </is>
      </c>
      <c r="D4915">
        <f>HYPERLINK("https://www.youtube.com/watch?v=NqP-LVtY3Gg&amp;t=131s", "Go to time")</f>
        <v/>
      </c>
    </row>
    <row r="4916">
      <c r="A4916">
        <f>HYPERLINK("https://www.youtube.com/watch?v=4LL-ynK_exM", "Video")</f>
        <v/>
      </c>
      <c r="B4916" t="inlineStr">
        <is>
          <t>4:29</t>
        </is>
      </c>
      <c r="C4916" t="inlineStr">
        <is>
          <t>and looking forward to
helping to drive innovation.</t>
        </is>
      </c>
      <c r="D4916">
        <f>HYPERLINK("https://www.youtube.com/watch?v=4LL-ynK_exM&amp;t=269s", "Go to time")</f>
        <v/>
      </c>
    </row>
    <row r="4917">
      <c r="A4917">
        <f>HYPERLINK("https://www.youtube.com/watch?v=cxh8x7yf8PE", "Video")</f>
        <v/>
      </c>
      <c r="B4917" t="inlineStr">
        <is>
          <t>4:18</t>
        </is>
      </c>
      <c r="C4917" t="inlineStr">
        <is>
          <t>He was driven to use his post presidency,</t>
        </is>
      </c>
      <c r="D4917">
        <f>HYPERLINK("https://www.youtube.com/watch?v=cxh8x7yf8PE&amp;t=258s", "Go to time")</f>
        <v/>
      </c>
    </row>
    <row r="4918">
      <c r="A4918">
        <f>HYPERLINK("https://www.youtube.com/watch?v=dN1cG7Akdhg", "Video")</f>
        <v/>
      </c>
      <c r="B4918" t="inlineStr">
        <is>
          <t>0:59</t>
        </is>
      </c>
      <c r="C4918" t="inlineStr">
        <is>
          <t>also be a drive up service right well so</t>
        </is>
      </c>
      <c r="D4918">
        <f>HYPERLINK("https://www.youtube.com/watch?v=dN1cG7Akdhg&amp;t=59s", "Go to time")</f>
        <v/>
      </c>
    </row>
    <row r="4919">
      <c r="A4919">
        <f>HYPERLINK("https://www.youtube.com/watch?v=dN1cG7Akdhg", "Video")</f>
        <v/>
      </c>
      <c r="B4919" t="inlineStr">
        <is>
          <t>1:12</t>
        </is>
      </c>
      <c r="C4919" t="inlineStr">
        <is>
          <t>you know people will be able to drive up</t>
        </is>
      </c>
      <c r="D4919">
        <f>HYPERLINK("https://www.youtube.com/watch?v=dN1cG7Akdhg&amp;t=72s", "Go to time")</f>
        <v/>
      </c>
    </row>
    <row r="4920">
      <c r="A4920">
        <f>HYPERLINK("https://www.youtube.com/watch?v=dN1cG7Akdhg", "Video")</f>
        <v/>
      </c>
      <c r="B4920" t="inlineStr">
        <is>
          <t>2:47</t>
        </is>
      </c>
      <c r="C4920" t="inlineStr">
        <is>
          <t>speed up weight times for these drive up</t>
        </is>
      </c>
      <c r="D4920">
        <f>HYPERLINK("https://www.youtube.com/watch?v=dN1cG7Akdhg&amp;t=167s", "Go to time")</f>
        <v/>
      </c>
    </row>
    <row r="4921">
      <c r="A4921">
        <f>HYPERLINK("https://www.youtube.com/watch?v=vrWPHRtkbyI", "Video")</f>
        <v/>
      </c>
      <c r="B4921" t="inlineStr">
        <is>
          <t>1:20</t>
        </is>
      </c>
      <c r="C4921" t="inlineStr">
        <is>
          <t>slip around the sperm drive it to an egg</t>
        </is>
      </c>
      <c r="D4921">
        <f>HYPERLINK("https://www.youtube.com/watch?v=vrWPHRtkbyI&amp;t=80s", "Go to time")</f>
        <v/>
      </c>
    </row>
    <row r="4922">
      <c r="A4922">
        <f>HYPERLINK("https://www.youtube.com/watch?v=L2bhf1rrpqM", "Video")</f>
        <v/>
      </c>
      <c r="B4922" t="inlineStr">
        <is>
          <t>1:18</t>
        </is>
      </c>
      <c r="C4922" t="inlineStr">
        <is>
          <t>spending money on clothes drive-ins</t>
        </is>
      </c>
      <c r="D4922">
        <f>HYPERLINK("https://www.youtube.com/watch?v=L2bhf1rrpqM&amp;t=78s", "Go to time")</f>
        <v/>
      </c>
    </row>
    <row r="4923">
      <c r="A4923">
        <f>HYPERLINK("https://www.youtube.com/watch?v=xF6ELA6z3rU", "Video")</f>
        <v/>
      </c>
      <c r="B4923" t="inlineStr">
        <is>
          <t>0:47</t>
        </is>
      </c>
      <c r="C4923" t="inlineStr">
        <is>
          <t>crazy and that's going to drive the next</t>
        </is>
      </c>
      <c r="D4923">
        <f>HYPERLINK("https://www.youtube.com/watch?v=xF6ELA6z3rU&amp;t=47s", "Go to time")</f>
        <v/>
      </c>
    </row>
    <row r="4924">
      <c r="A4924">
        <f>HYPERLINK("https://www.youtube.com/watch?v=xF6ELA6z3rU", "Video")</f>
        <v/>
      </c>
      <c r="B4924" t="inlineStr">
        <is>
          <t>0:49</t>
        </is>
      </c>
      <c r="C4924" t="inlineStr">
        <is>
          <t>news cycle and drive people on a social</t>
        </is>
      </c>
      <c r="D4924">
        <f>HYPERLINK("https://www.youtube.com/watch?v=xF6ELA6z3rU&amp;t=49s", "Go to time")</f>
        <v/>
      </c>
    </row>
    <row r="4925">
      <c r="A4925">
        <f>HYPERLINK("https://www.youtube.com/watch?v=dhv1Ss1aSMU", "Video")</f>
        <v/>
      </c>
      <c r="B4925" t="inlineStr">
        <is>
          <t>5:21</t>
        </is>
      </c>
      <c r="C4925" t="inlineStr">
        <is>
          <t>which drive CPU usage, slumped.</t>
        </is>
      </c>
      <c r="D4925">
        <f>HYPERLINK("https://www.youtube.com/watch?v=dhv1Ss1aSMU&amp;t=321s", "Go to time")</f>
        <v/>
      </c>
    </row>
    <row r="4926">
      <c r="A4926">
        <f>HYPERLINK("https://www.youtube.com/watch?v=iOJma0kvZBM", "Video")</f>
        <v/>
      </c>
      <c r="B4926" t="inlineStr">
        <is>
          <t>0:45</t>
        </is>
      </c>
      <c r="C4926" t="inlineStr">
        <is>
          <t>it's undergone an $18
million tech-driven redesign.</t>
        </is>
      </c>
      <c r="D4926">
        <f>HYPERLINK("https://www.youtube.com/watch?v=iOJma0kvZBM&amp;t=45s", "Go to time")</f>
        <v/>
      </c>
    </row>
    <row r="4927">
      <c r="A4927">
        <f>HYPERLINK("https://www.youtube.com/watch?v=YxPU_U2aFPE", "Video")</f>
        <v/>
      </c>
      <c r="B4927" t="inlineStr">
        <is>
          <t>2:00</t>
        </is>
      </c>
      <c r="C4927" t="inlineStr">
        <is>
          <t>of delivery trucks and drivers.</t>
        </is>
      </c>
      <c r="D4927">
        <f>HYPERLINK("https://www.youtube.com/watch?v=YxPU_U2aFPE&amp;t=120s", "Go to time")</f>
        <v/>
      </c>
    </row>
    <row r="4928">
      <c r="A4928">
        <f>HYPERLINK("https://www.youtube.com/watch?v=7KWZRuOkT7E", "Video")</f>
        <v/>
      </c>
      <c r="B4928" t="inlineStr">
        <is>
          <t>2:20</t>
        </is>
      </c>
      <c r="C4928" t="inlineStr">
        <is>
          <t>and they've never even driven the car.</t>
        </is>
      </c>
      <c r="D4928">
        <f>HYPERLINK("https://www.youtube.com/watch?v=7KWZRuOkT7E&amp;t=140s", "Go to time")</f>
        <v/>
      </c>
    </row>
    <row r="4929">
      <c r="A4929">
        <f>HYPERLINK("https://www.youtube.com/watch?v=-F-hE88SOiY", "Video")</f>
        <v/>
      </c>
      <c r="B4929" t="inlineStr">
        <is>
          <t>1:18</t>
        </is>
      </c>
      <c r="C4929" t="inlineStr">
        <is>
          <t>move over to a 100 GB Cloud Drive the</t>
        </is>
      </c>
      <c r="D4929">
        <f>HYPERLINK("https://www.youtube.com/watch?v=-F-hE88SOiY&amp;t=78s", "Go to time")</f>
        <v/>
      </c>
    </row>
    <row r="4930">
      <c r="A4930">
        <f>HYPERLINK("https://www.youtube.com/watch?v=2fWKrEKtzFw", "Video")</f>
        <v/>
      </c>
      <c r="B4930" t="inlineStr">
        <is>
          <t>0:35</t>
        </is>
      </c>
      <c r="C4930" t="inlineStr">
        <is>
          <t>to drive down her vote while also</t>
        </is>
      </c>
      <c r="D4930">
        <f>HYPERLINK("https://www.youtube.com/watch?v=2fWKrEKtzFw&amp;t=35s", "Go to time")</f>
        <v/>
      </c>
    </row>
    <row r="4931">
      <c r="A4931">
        <f>HYPERLINK("https://www.youtube.com/watch?v=mg1Q1pqonhY", "Video")</f>
        <v/>
      </c>
      <c r="B4931" t="inlineStr">
        <is>
          <t>1:41</t>
        </is>
      </c>
      <c r="C4931" t="inlineStr">
        <is>
          <t>Adam Driver and Zoe Kazan and McKenzie</t>
        </is>
      </c>
      <c r="D4931">
        <f>HYPERLINK("https://www.youtube.com/watch?v=mg1Q1pqonhY&amp;t=101s", "Go to time")</f>
        <v/>
      </c>
    </row>
    <row r="4932">
      <c r="A4932">
        <f>HYPERLINK("https://www.youtube.com/watch?v=7juLTI075yM", "Video")</f>
        <v/>
      </c>
      <c r="B4932" t="inlineStr">
        <is>
          <t>1:45</t>
        </is>
      </c>
      <c r="C4932" t="inlineStr">
        <is>
          <t>their obligations under income driven</t>
        </is>
      </c>
      <c r="D4932">
        <f>HYPERLINK("https://www.youtube.com/watch?v=7juLTI075yM&amp;t=105s", "Go to time")</f>
        <v/>
      </c>
    </row>
    <row r="4933">
      <c r="A4933">
        <f>HYPERLINK("https://www.youtube.com/watch?v=1X6UdtrdsKY", "Video")</f>
        <v/>
      </c>
      <c r="B4933" t="inlineStr">
        <is>
          <t>1:19</t>
        </is>
      </c>
      <c r="C4933" t="inlineStr">
        <is>
          <t>Dropbox or Google Drive and carry around</t>
        </is>
      </c>
      <c r="D4933">
        <f>HYPERLINK("https://www.youtube.com/watch?v=1X6UdtrdsKY&amp;t=79s", "Go to time")</f>
        <v/>
      </c>
    </row>
    <row r="4934">
      <c r="A4934">
        <f>HYPERLINK("https://www.youtube.com/watch?v=1X6UdtrdsKY", "Video")</f>
        <v/>
      </c>
      <c r="B4934" t="inlineStr">
        <is>
          <t>1:21</t>
        </is>
      </c>
      <c r="C4934" t="inlineStr">
        <is>
          <t>a flash drive for when you need to print</t>
        </is>
      </c>
      <c r="D4934">
        <f>HYPERLINK("https://www.youtube.com/watch?v=1X6UdtrdsKY&amp;t=81s", "Go to time")</f>
        <v/>
      </c>
    </row>
    <row r="4935">
      <c r="A4935">
        <f>HYPERLINK("https://www.youtube.com/watch?v=zcS8ajUb3mo", "Video")</f>
        <v/>
      </c>
      <c r="B4935" t="inlineStr">
        <is>
          <t>2:05</t>
        </is>
      </c>
      <c r="C4935" t="inlineStr">
        <is>
          <t>says he thinks crime is driven by local</t>
        </is>
      </c>
      <c r="D4935">
        <f>HYPERLINK("https://www.youtube.com/watch?v=zcS8ajUb3mo&amp;t=125s", "Go to time")</f>
        <v/>
      </c>
    </row>
    <row r="4936">
      <c r="A4936">
        <f>HYPERLINK("https://www.youtube.com/watch?v=dHCdqJMMvP0", "Video")</f>
        <v/>
      </c>
      <c r="B4936" t="inlineStr">
        <is>
          <t>1:13</t>
        </is>
      </c>
      <c r="C4936" t="inlineStr">
        <is>
          <t>Rin Cliffe an 18-minute drive from the</t>
        </is>
      </c>
      <c r="D4936">
        <f>HYPERLINK("https://www.youtube.com/watch?v=dHCdqJMMvP0&amp;t=73s", "Go to time")</f>
        <v/>
      </c>
    </row>
    <row r="4937">
      <c r="A4937">
        <f>HYPERLINK("https://www.youtube.com/watch?v=XGZXPJDMrvY", "Video")</f>
        <v/>
      </c>
      <c r="B4937" t="inlineStr">
        <is>
          <t>5:05</t>
        </is>
      </c>
      <c r="C4937" t="inlineStr">
        <is>
          <t>helping to drive sales.</t>
        </is>
      </c>
      <c r="D4937">
        <f>HYPERLINK("https://www.youtube.com/watch?v=XGZXPJDMrvY&amp;t=305s", "Go to time")</f>
        <v/>
      </c>
    </row>
    <row r="4938">
      <c r="A4938">
        <f>HYPERLINK("https://www.youtube.com/watch?v=XGZXPJDMrvY", "Video")</f>
        <v/>
      </c>
      <c r="B4938" t="inlineStr">
        <is>
          <t>5:18</t>
        </is>
      </c>
      <c r="C4938" t="inlineStr">
        <is>
          <t>Both have driven more market share.</t>
        </is>
      </c>
      <c r="D4938">
        <f>HYPERLINK("https://www.youtube.com/watch?v=XGZXPJDMrvY&amp;t=318s", "Go to time")</f>
        <v/>
      </c>
    </row>
    <row r="4939">
      <c r="A4939">
        <f>HYPERLINK("https://www.youtube.com/watch?v=H4TeZXbegs8", "Video")</f>
        <v/>
      </c>
      <c r="B4939" t="inlineStr">
        <is>
          <t>2:17</t>
        </is>
      </c>
      <c r="C4939" t="inlineStr">
        <is>
          <t>speed the Tesla was being driven Tesla</t>
        </is>
      </c>
      <c r="D4939">
        <f>HYPERLINK("https://www.youtube.com/watch?v=H4TeZXbegs8&amp;t=137s", "Go to time")</f>
        <v/>
      </c>
    </row>
    <row r="4940">
      <c r="A4940">
        <f>HYPERLINK("https://www.youtube.com/watch?v=TRu7ka4eD8k", "Video")</f>
        <v/>
      </c>
      <c r="B4940" t="inlineStr">
        <is>
          <t>1:40</t>
        </is>
      </c>
      <c r="C4940" t="inlineStr">
        <is>
          <t>Walt was as restless and driven as</t>
        </is>
      </c>
      <c r="D4940">
        <f>HYPERLINK("https://www.youtube.com/watch?v=TRu7ka4eD8k&amp;t=100s", "Go to time")</f>
        <v/>
      </c>
    </row>
    <row r="4941">
      <c r="A4941">
        <f>HYPERLINK("https://www.youtube.com/watch?v=x78oE2yxNpI", "Video")</f>
        <v/>
      </c>
      <c r="B4941" t="inlineStr">
        <is>
          <t>3:56</t>
        </is>
      </c>
      <c r="C4941" t="inlineStr">
        <is>
          <t>- [Jeffrey] You don't just
drive tanks down roads,</t>
        </is>
      </c>
      <c r="D4941">
        <f>HYPERLINK("https://www.youtube.com/watch?v=x78oE2yxNpI&amp;t=236s", "Go to time")</f>
        <v/>
      </c>
    </row>
    <row r="4942">
      <c r="A4942">
        <f>HYPERLINK("https://www.youtube.com/watch?v=ab2zSZr_PCo", "Video")</f>
        <v/>
      </c>
      <c r="B4942" t="inlineStr">
        <is>
          <t>3:26</t>
        </is>
      </c>
      <c r="C4942" t="inlineStr">
        <is>
          <t>are grappling with claims from drivers</t>
        </is>
      </c>
      <c r="D4942">
        <f>HYPERLINK("https://www.youtube.com/watch?v=ab2zSZr_PCo&amp;t=206s", "Go to time")</f>
        <v/>
      </c>
    </row>
    <row r="4943">
      <c r="A4943">
        <f>HYPERLINK("https://www.youtube.com/watch?v=ab2zSZr_PCo", "Video")</f>
        <v/>
      </c>
      <c r="B4943" t="inlineStr">
        <is>
          <t>4:04</t>
        </is>
      </c>
      <c r="C4943" t="inlineStr">
        <is>
          <t>driver partners as far as how we build</t>
        </is>
      </c>
      <c r="D4943">
        <f>HYPERLINK("https://www.youtube.com/watch?v=ab2zSZr_PCo&amp;t=244s", "Go to time")</f>
        <v/>
      </c>
    </row>
    <row r="4944">
      <c r="A4944">
        <f>HYPERLINK("https://www.youtube.com/watch?v=zE6NgSRHbNQ", "Video")</f>
        <v/>
      </c>
      <c r="B4944" t="inlineStr">
        <is>
          <t>0:49</t>
        </is>
      </c>
      <c r="C4944" t="inlineStr">
        <is>
          <t>drive-in extension really at the end of</t>
        </is>
      </c>
      <c r="D4944">
        <f>HYPERLINK("https://www.youtube.com/watch?v=zE6NgSRHbNQ&amp;t=49s", "Go to time")</f>
        <v/>
      </c>
    </row>
    <row r="4945">
      <c r="A4945">
        <f>HYPERLINK("https://www.youtube.com/watch?v=mwnAGlNX9sk", "Video")</f>
        <v/>
      </c>
      <c r="B4945" t="inlineStr">
        <is>
          <t>1:22</t>
        </is>
      </c>
      <c r="C4945" t="inlineStr">
        <is>
          <t>a lot of it's driven by
just fiscal spending.</t>
        </is>
      </c>
      <c r="D4945">
        <f>HYPERLINK("https://www.youtube.com/watch?v=mwnAGlNX9sk&amp;t=82s", "Go to time")</f>
        <v/>
      </c>
    </row>
    <row r="4946">
      <c r="A4946">
        <f>HYPERLINK("https://www.youtube.com/watch?v=OhnjW0_45Gs", "Video")</f>
        <v/>
      </c>
      <c r="B4946" t="inlineStr">
        <is>
          <t>1:43</t>
        </is>
      </c>
      <c r="C4946" t="inlineStr">
        <is>
          <t>circuit but then you'll be able to drive</t>
        </is>
      </c>
      <c r="D4946">
        <f>HYPERLINK("https://www.youtube.com/watch?v=OhnjW0_45Gs&amp;t=103s", "Go to time")</f>
        <v/>
      </c>
    </row>
    <row r="4947">
      <c r="A4947">
        <f>HYPERLINK("https://www.youtube.com/watch?v=OhnjW0_45Gs", "Video")</f>
        <v/>
      </c>
      <c r="B4947" t="inlineStr">
        <is>
          <t>4:07</t>
        </is>
      </c>
      <c r="C4947" t="inlineStr">
        <is>
          <t>neck standing up when you drive the car</t>
        </is>
      </c>
      <c r="D4947">
        <f>HYPERLINK("https://www.youtube.com/watch?v=OhnjW0_45Gs&amp;t=247s", "Go to time")</f>
        <v/>
      </c>
    </row>
    <row r="4948">
      <c r="A4948">
        <f>HYPERLINK("https://www.youtube.com/watch?v=VNz--w09q_Y", "Video")</f>
        <v/>
      </c>
      <c r="B4948" t="inlineStr">
        <is>
          <t>1:47</t>
        </is>
      </c>
      <c r="C4948" t="inlineStr">
        <is>
          <t>gift of storage iCloud and Google Drive</t>
        </is>
      </c>
      <c r="D4948">
        <f>HYPERLINK("https://www.youtube.com/watch?v=VNz--w09q_Y&amp;t=107s", "Go to time")</f>
        <v/>
      </c>
    </row>
    <row r="4949">
      <c r="A4949">
        <f>HYPERLINK("https://www.youtube.com/watch?v=VNz--w09q_Y", "Video")</f>
        <v/>
      </c>
      <c r="B4949" t="inlineStr">
        <is>
          <t>2:05</t>
        </is>
      </c>
      <c r="C4949" t="inlineStr">
        <is>
          <t>Google Drive starts at 100 gigabytes for</t>
        </is>
      </c>
      <c r="D4949">
        <f>HYPERLINK("https://www.youtube.com/watch?v=VNz--w09q_Y&amp;t=125s", "Go to time")</f>
        <v/>
      </c>
    </row>
    <row r="4950">
      <c r="A4950">
        <f>HYPERLINK("https://www.youtube.com/watch?v=k6X_NS_Vkv8", "Video")</f>
        <v/>
      </c>
      <c r="B4950" t="inlineStr">
        <is>
          <t>4:24</t>
        </is>
      </c>
      <c r="C4950" t="inlineStr">
        <is>
          <t>- It's a very data-driven process.</t>
        </is>
      </c>
      <c r="D4950">
        <f>HYPERLINK("https://www.youtube.com/watch?v=k6X_NS_Vkv8&amp;t=264s", "Go to time")</f>
        <v/>
      </c>
    </row>
    <row r="4951">
      <c r="A4951">
        <f>HYPERLINK("https://www.youtube.com/watch?v=5CQeEJHVQqU", "Video")</f>
        <v/>
      </c>
      <c r="B4951" t="inlineStr">
        <is>
          <t>6:55</t>
        </is>
      </c>
      <c r="C4951" t="inlineStr">
        <is>
          <t>you'll drive right by it,
and not even think twice.</t>
        </is>
      </c>
      <c r="D4951">
        <f>HYPERLINK("https://www.youtube.com/watch?v=5CQeEJHVQqU&amp;t=415s", "Go to time")</f>
        <v/>
      </c>
    </row>
    <row r="4952">
      <c r="A4952">
        <f>HYPERLINK("https://www.youtube.com/watch?v=bxUhjr3Ebzo", "Video")</f>
        <v/>
      </c>
      <c r="B4952" t="inlineStr">
        <is>
          <t>0:48</t>
        </is>
      </c>
      <c r="C4952" t="inlineStr">
        <is>
          <t>have seen drive the price of Bitcoin up</t>
        </is>
      </c>
      <c r="D4952">
        <f>HYPERLINK("https://www.youtube.com/watch?v=bxUhjr3Ebzo&amp;t=48s", "Go to time")</f>
        <v/>
      </c>
    </row>
    <row r="4953">
      <c r="A4953">
        <f>HYPERLINK("https://www.youtube.com/watch?v=N2iKVxALVxk", "Video")</f>
        <v/>
      </c>
      <c r="B4953" t="inlineStr">
        <is>
          <t>3:32</t>
        </is>
      </c>
      <c r="C4953" t="inlineStr">
        <is>
          <t>just when they get their driver's</t>
        </is>
      </c>
      <c r="D4953">
        <f>HYPERLINK("https://www.youtube.com/watch?v=N2iKVxALVxk&amp;t=212s", "Go to time")</f>
        <v/>
      </c>
    </row>
    <row r="4954">
      <c r="A4954">
        <f>HYPERLINK("https://www.youtube.com/watch?v=DfyFNWOdaQA", "Video")</f>
        <v/>
      </c>
      <c r="B4954" t="inlineStr">
        <is>
          <t>2:24</t>
        </is>
      </c>
      <c r="C4954" t="inlineStr">
        <is>
          <t>live almost what kind of car you drive</t>
        </is>
      </c>
      <c r="D4954">
        <f>HYPERLINK("https://www.youtube.com/watch?v=DfyFNWOdaQA&amp;t=144s", "Go to time")</f>
        <v/>
      </c>
    </row>
    <row r="4955">
      <c r="A4955">
        <f>HYPERLINK("https://www.youtube.com/watch?v=GunbxMqmGX4", "Video")</f>
        <v/>
      </c>
      <c r="B4955" t="inlineStr">
        <is>
          <t>3:19</t>
        </is>
      </c>
      <c r="C4955" t="inlineStr">
        <is>
          <t>as excitement drives new
investors into the asset.</t>
        </is>
      </c>
      <c r="D4955">
        <f>HYPERLINK("https://www.youtube.com/watch?v=GunbxMqmGX4&amp;t=199s", "Go to time")</f>
        <v/>
      </c>
    </row>
    <row r="4956">
      <c r="A4956">
        <f>HYPERLINK("https://www.youtube.com/watch?v=GunbxMqmGX4", "Video")</f>
        <v/>
      </c>
      <c r="B4956" t="inlineStr">
        <is>
          <t>4:50</t>
        </is>
      </c>
      <c r="C4956" t="inlineStr">
        <is>
          <t>and that has been a key
driver of market bubbles</t>
        </is>
      </c>
      <c r="D4956">
        <f>HYPERLINK("https://www.youtube.com/watch?v=GunbxMqmGX4&amp;t=290s", "Go to time")</f>
        <v/>
      </c>
    </row>
    <row r="4957">
      <c r="A4957">
        <f>HYPERLINK("https://www.youtube.com/watch?v=GunbxMqmGX4", "Video")</f>
        <v/>
      </c>
      <c r="B4957" t="inlineStr">
        <is>
          <t>6:36</t>
        </is>
      </c>
      <c r="C4957" t="inlineStr">
        <is>
          <t>that again drive investors
to riskier assets.</t>
        </is>
      </c>
      <c r="D4957">
        <f>HYPERLINK("https://www.youtube.com/watch?v=GunbxMqmGX4&amp;t=396s", "Go to time")</f>
        <v/>
      </c>
    </row>
    <row r="4958">
      <c r="A4958">
        <f>HYPERLINK("https://www.youtube.com/watch?v=81e7vKMFRxg", "Video")</f>
        <v/>
      </c>
      <c r="B4958" t="inlineStr">
        <is>
          <t>3:27</t>
        </is>
      </c>
      <c r="C4958" t="inlineStr">
        <is>
          <t>because I won't drive on the highways</t>
        </is>
      </c>
      <c r="D4958">
        <f>HYPERLINK("https://www.youtube.com/watch?v=81e7vKMFRxg&amp;t=207s", "Go to time")</f>
        <v/>
      </c>
    </row>
    <row r="4959">
      <c r="A4959">
        <f>HYPERLINK("https://www.youtube.com/watch?v=S4j6nt5F6to", "Video")</f>
        <v/>
      </c>
      <c r="B4959" t="inlineStr">
        <is>
          <t>1:08</t>
        </is>
      </c>
      <c r="C4959" t="inlineStr">
        <is>
          <t>So the folks who are on this
long long drive west outta Kyiv</t>
        </is>
      </c>
      <c r="D4959">
        <f>HYPERLINK("https://www.youtube.com/watch?v=S4j6nt5F6to&amp;t=68s", "Go to time")</f>
        <v/>
      </c>
    </row>
    <row r="4960">
      <c r="A4960">
        <f>HYPERLINK("https://www.youtube.com/watch?v=Zcm5nsc1XvU", "Video")</f>
        <v/>
      </c>
      <c r="B4960" t="inlineStr">
        <is>
          <t>6:07</t>
        </is>
      </c>
      <c r="C4960" t="inlineStr">
        <is>
          <t>Today, 73% of Angelinos
drive alone to work</t>
        </is>
      </c>
      <c r="D4960">
        <f>HYPERLINK("https://www.youtube.com/watch?v=Zcm5nsc1XvU&amp;t=367s", "Go to time")</f>
        <v/>
      </c>
    </row>
    <row r="4961">
      <c r="A4961">
        <f>HYPERLINK("https://www.youtube.com/watch?v=a4AwuWcRiJI", "Video")</f>
        <v/>
      </c>
      <c r="B4961" t="inlineStr">
        <is>
          <t>1:23</t>
        </is>
      </c>
      <c r="C4961" t="inlineStr">
        <is>
          <t>says a German truck driver this is</t>
        </is>
      </c>
      <c r="D4961">
        <f>HYPERLINK("https://www.youtube.com/watch?v=a4AwuWcRiJI&amp;t=83s", "Go to time")</f>
        <v/>
      </c>
    </row>
    <row r="4962">
      <c r="A4962">
        <f>HYPERLINK("https://www.youtube.com/watch?v=z-el4LPDH8c", "Video")</f>
        <v/>
      </c>
      <c r="B4962" t="inlineStr">
        <is>
          <t>3:38</t>
        </is>
      </c>
      <c r="C4962" t="inlineStr">
        <is>
          <t>help me drive without any distractions</t>
        </is>
      </c>
      <c r="D4962">
        <f>HYPERLINK("https://www.youtube.com/watch?v=z-el4LPDH8c&amp;t=218s", "Go to time")</f>
        <v/>
      </c>
    </row>
    <row r="4963">
      <c r="A4963">
        <f>HYPERLINK("https://www.youtube.com/watch?v=z-el4LPDH8c", "Video")</f>
        <v/>
      </c>
      <c r="B4963" t="inlineStr">
        <is>
          <t>4:05</t>
        </is>
      </c>
      <c r="C4963" t="inlineStr">
        <is>
          <t>gonna drive with our cars for at least</t>
        </is>
      </c>
      <c r="D4963">
        <f>HYPERLINK("https://www.youtube.com/watch?v=z-el4LPDH8c&amp;t=245s", "Go to time")</f>
        <v/>
      </c>
    </row>
    <row r="4964">
      <c r="A4964">
        <f>HYPERLINK("https://www.youtube.com/watch?v=z-el4LPDH8c", "Video")</f>
        <v/>
      </c>
      <c r="B4964" t="inlineStr">
        <is>
          <t>4:07</t>
        </is>
      </c>
      <c r="C4964" t="inlineStr">
        <is>
          <t>as long as we still need to drive our</t>
        </is>
      </c>
      <c r="D4964">
        <f>HYPERLINK("https://www.youtube.com/watch?v=z-el4LPDH8c&amp;t=247s", "Go to time")</f>
        <v/>
      </c>
    </row>
    <row r="4965">
      <c r="A4965">
        <f>HYPERLINK("https://www.youtube.com/watch?v=kPva2x_yw9o", "Video")</f>
        <v/>
      </c>
      <c r="B4965" t="inlineStr">
        <is>
          <t>0:12</t>
        </is>
      </c>
      <c r="C4965" t="inlineStr">
        <is>
          <t>the productivity that will really Drive</t>
        </is>
      </c>
      <c r="D4965">
        <f>HYPERLINK("https://www.youtube.com/watch?v=kPva2x_yw9o&amp;t=12s", "Go to time")</f>
        <v/>
      </c>
    </row>
    <row r="4966">
      <c r="A4966">
        <f>HYPERLINK("https://www.youtube.com/watch?v=3s_XWd7Tj68", "Video")</f>
        <v/>
      </c>
      <c r="B4966" t="inlineStr">
        <is>
          <t>1:43</t>
        </is>
      </c>
      <c r="C4966" t="inlineStr">
        <is>
          <t>would take to drive a Tesla for a week</t>
        </is>
      </c>
      <c r="D4966">
        <f>HYPERLINK("https://www.youtube.com/watch?v=3s_XWd7Tj68&amp;t=103s", "Go to time")</f>
        <v/>
      </c>
    </row>
    <row r="4967">
      <c r="A4967">
        <f>HYPERLINK("https://www.youtube.com/watch?v=30zBo0GV_w8", "Video")</f>
        <v/>
      </c>
      <c r="B4967" t="inlineStr">
        <is>
          <t>0:36</t>
        </is>
      </c>
      <c r="C4967" t="inlineStr">
        <is>
          <t>driven by the former president aimed at</t>
        </is>
      </c>
      <c r="D4967">
        <f>HYPERLINK("https://www.youtube.com/watch?v=30zBo0GV_w8&amp;t=36s", "Go to time")</f>
        <v/>
      </c>
    </row>
    <row r="4968">
      <c r="A4968">
        <f>HYPERLINK("https://www.youtube.com/watch?v=R1ByOFbQADg", "Video")</f>
        <v/>
      </c>
      <c r="B4968" t="inlineStr">
        <is>
          <t>1:45</t>
        </is>
      </c>
      <c r="C4968" t="inlineStr">
        <is>
          <t>this kind of heat-driven
evolution in the wild yet,</t>
        </is>
      </c>
      <c r="D4968">
        <f>HYPERLINK("https://www.youtube.com/watch?v=R1ByOFbQADg&amp;t=105s", "Go to time")</f>
        <v/>
      </c>
    </row>
    <row r="4969">
      <c r="A4969">
        <f>HYPERLINK("https://www.youtube.com/watch?v=BDvtwGMe-HQ", "Video")</f>
        <v/>
      </c>
      <c r="B4969" t="inlineStr">
        <is>
          <t>2:29</t>
        </is>
      </c>
      <c r="C4969" t="inlineStr">
        <is>
          <t>to get get a line drive start where all</t>
        </is>
      </c>
      <c r="D4969">
        <f>HYPERLINK("https://www.youtube.com/watch?v=BDvtwGMe-HQ&amp;t=149s", "Go to time")</f>
        <v/>
      </c>
    </row>
    <row r="4970">
      <c r="A4970">
        <f>HYPERLINK("https://www.youtube.com/watch?v=MtwY9xKfaYo", "Video")</f>
        <v/>
      </c>
      <c r="B4970" t="inlineStr">
        <is>
          <t>0:04</t>
        </is>
      </c>
      <c r="C4970" t="inlineStr">
        <is>
          <t>drivers may feel powerless when they</t>
        </is>
      </c>
      <c r="D4970">
        <f>HYPERLINK("https://www.youtube.com/watch?v=MtwY9xKfaYo&amp;t=4s", "Go to time")</f>
        <v/>
      </c>
    </row>
    <row r="4971">
      <c r="A4971">
        <f>HYPERLINK("https://www.youtube.com/watch?v=MtwY9xKfaYo", "Video")</f>
        <v/>
      </c>
      <c r="B4971" t="inlineStr">
        <is>
          <t>0:11</t>
        </is>
      </c>
      <c r="C4971" t="inlineStr">
        <is>
          <t>drivers can have an impact helping to</t>
        </is>
      </c>
      <c r="D4971">
        <f>HYPERLINK("https://www.youtube.com/watch?v=MtwY9xKfaYo&amp;t=11s", "Go to time")</f>
        <v/>
      </c>
    </row>
    <row r="4972">
      <c r="A4972">
        <f>HYPERLINK("https://www.youtube.com/watch?v=MtwY9xKfaYo", "Video")</f>
        <v/>
      </c>
      <c r="B4972" t="inlineStr">
        <is>
          <t>0:29</t>
        </is>
      </c>
      <c r="C4972" t="inlineStr">
        <is>
          <t>driver Le leaving a large gap in front</t>
        </is>
      </c>
      <c r="D4972">
        <f>HYPERLINK("https://www.youtube.com/watch?v=MtwY9xKfaYo&amp;t=29s", "Go to time")</f>
        <v/>
      </c>
    </row>
    <row r="4973">
      <c r="A4973">
        <f>HYPERLINK("https://www.youtube.com/watch?v=MtwY9xKfaYo", "Video")</f>
        <v/>
      </c>
      <c r="B4973" t="inlineStr">
        <is>
          <t>0:39</t>
        </is>
      </c>
      <c r="C4973" t="inlineStr">
        <is>
          <t>other drivers to move freely helping</t>
        </is>
      </c>
      <c r="D4973">
        <f>HYPERLINK("https://www.youtube.com/watch?v=MtwY9xKfaYo&amp;t=39s", "Go to time")</f>
        <v/>
      </c>
    </row>
    <row r="4974">
      <c r="A4974">
        <f>HYPERLINK("https://www.youtube.com/watch?v=MtwY9xKfaYo", "Video")</f>
        <v/>
      </c>
      <c r="B4974" t="inlineStr">
        <is>
          <t>1:06</t>
        </is>
      </c>
      <c r="C4974" t="inlineStr">
        <is>
          <t>says if more drivers kept an even speed</t>
        </is>
      </c>
      <c r="D4974">
        <f>HYPERLINK("https://www.youtube.com/watch?v=MtwY9xKfaYo&amp;t=66s", "Go to time")</f>
        <v/>
      </c>
    </row>
    <row r="4975">
      <c r="A4975">
        <f>HYPERLINK("https://www.youtube.com/watch?v=MtwY9xKfaYo", "Video")</f>
        <v/>
      </c>
      <c r="B4975" t="inlineStr">
        <is>
          <t>1:57</t>
        </is>
      </c>
      <c r="C4975" t="inlineStr">
        <is>
          <t>encourage drivers to merge more</t>
        </is>
      </c>
      <c r="D4975">
        <f>HYPERLINK("https://www.youtube.com/watch?v=MtwY9xKfaYo&amp;t=117s", "Go to time")</f>
        <v/>
      </c>
    </row>
    <row r="4976">
      <c r="A4976">
        <f>HYPERLINK("https://www.youtube.com/watch?v=MtwY9xKfaYo", "Video")</f>
        <v/>
      </c>
      <c r="B4976" t="inlineStr">
        <is>
          <t>2:02</t>
        </is>
      </c>
      <c r="C4976" t="inlineStr">
        <is>
          <t>drivers to let other drivers in ahead of</t>
        </is>
      </c>
      <c r="D4976">
        <f>HYPERLINK("https://www.youtube.com/watch?v=MtwY9xKfaYo&amp;t=122s", "Go to time")</f>
        <v/>
      </c>
    </row>
    <row r="4977">
      <c r="A4977">
        <f>HYPERLINK("https://www.youtube.com/watch?v=2MwnCpzukj4", "Video")</f>
        <v/>
      </c>
      <c r="B4977" t="inlineStr">
        <is>
          <t>0:23</t>
        </is>
      </c>
      <c r="C4977" t="inlineStr">
        <is>
          <t>That rise is driven by a
myriad of economic forces</t>
        </is>
      </c>
      <c r="D4977">
        <f>HYPERLINK("https://www.youtube.com/watch?v=2MwnCpzukj4&amp;t=23s", "Go to time")</f>
        <v/>
      </c>
    </row>
    <row r="4978">
      <c r="A4978">
        <f>HYPERLINK("https://www.youtube.com/watch?v=2MwnCpzukj4", "Video")</f>
        <v/>
      </c>
      <c r="B4978" t="inlineStr">
        <is>
          <t>0:40</t>
        </is>
      </c>
      <c r="C4978" t="inlineStr">
        <is>
          <t>The price of coffee is driven in part</t>
        </is>
      </c>
      <c r="D4978">
        <f>HYPERLINK("https://www.youtube.com/watch?v=2MwnCpzukj4&amp;t=40s", "Go to time")</f>
        <v/>
      </c>
    </row>
    <row r="4979">
      <c r="A4979">
        <f>HYPERLINK("https://www.youtube.com/watch?v=2MwnCpzukj4", "Video")</f>
        <v/>
      </c>
      <c r="B4979" t="inlineStr">
        <is>
          <t>1:25</t>
        </is>
      </c>
      <c r="C4979" t="inlineStr">
        <is>
          <t>has driven up the price</t>
        </is>
      </c>
      <c r="D4979">
        <f>HYPERLINK("https://www.youtube.com/watch?v=2MwnCpzukj4&amp;t=85s", "Go to time")</f>
        <v/>
      </c>
    </row>
    <row r="4980">
      <c r="A4980">
        <f>HYPERLINK("https://www.youtube.com/watch?v=2MwnCpzukj4", "Video")</f>
        <v/>
      </c>
      <c r="B4980" t="inlineStr">
        <is>
          <t>2:20</t>
        </is>
      </c>
      <c r="C4980" t="inlineStr">
        <is>
          <t>The concern over a lack of
supply help drive up the price</t>
        </is>
      </c>
      <c r="D4980">
        <f>HYPERLINK("https://www.youtube.com/watch?v=2MwnCpzukj4&amp;t=140s", "Go to time")</f>
        <v/>
      </c>
    </row>
    <row r="4981">
      <c r="A4981">
        <f>HYPERLINK("https://www.youtube.com/watch?v=2MwnCpzukj4", "Video")</f>
        <v/>
      </c>
      <c r="B4981" t="inlineStr">
        <is>
          <t>6:05</t>
        </is>
      </c>
      <c r="C4981" t="inlineStr">
        <is>
          <t>it could drive up the price of
your morning cup, even more.</t>
        </is>
      </c>
      <c r="D4981">
        <f>HYPERLINK("https://www.youtube.com/watch?v=2MwnCpzukj4&amp;t=365s", "Go to time")</f>
        <v/>
      </c>
    </row>
    <row r="4982">
      <c r="A4982">
        <f>HYPERLINK("https://www.youtube.com/watch?v=ntF2oyCc2-Y", "Video")</f>
        <v/>
      </c>
      <c r="B4982" t="inlineStr">
        <is>
          <t>0:50</t>
        </is>
      </c>
      <c r="C4982" t="inlineStr">
        <is>
          <t>system allows a driver to release the</t>
        </is>
      </c>
      <c r="D4982">
        <f>HYPERLINK("https://www.youtube.com/watch?v=ntF2oyCc2-Y&amp;t=50s", "Go to time")</f>
        <v/>
      </c>
    </row>
    <row r="4983">
      <c r="A4983">
        <f>HYPERLINK("https://www.youtube.com/watch?v=w0_T79Rgh04", "Video")</f>
        <v/>
      </c>
      <c r="B4983" t="inlineStr">
        <is>
          <t>1:09</t>
        </is>
      </c>
      <c r="C4983" t="inlineStr">
        <is>
          <t>that today's inflation is largely driven</t>
        </is>
      </c>
      <c r="D4983">
        <f>HYPERLINK("https://www.youtube.com/watch?v=w0_T79Rgh04&amp;t=69s", "Go to time")</f>
        <v/>
      </c>
    </row>
    <row r="4984">
      <c r="A4984">
        <f>HYPERLINK("https://www.youtube.com/watch?v=DTL4TCCbk3k", "Video")</f>
        <v/>
      </c>
      <c r="B4984" t="inlineStr">
        <is>
          <t>1:56</t>
        </is>
      </c>
      <c r="C4984" t="inlineStr">
        <is>
          <t>torque and the drivet train also has to</t>
        </is>
      </c>
      <c r="D4984">
        <f>HYPERLINK("https://www.youtube.com/watch?v=DTL4TCCbk3k&amp;t=116s", "Go to time")</f>
        <v/>
      </c>
    </row>
    <row r="4985">
      <c r="A4985">
        <f>HYPERLINK("https://www.youtube.com/watch?v=DTL4TCCbk3k", "Video")</f>
        <v/>
      </c>
      <c r="B4985" t="inlineStr">
        <is>
          <t>1:58</t>
        </is>
      </c>
      <c r="C4985" t="inlineStr">
        <is>
          <t>do with Drive Line Flex and so they</t>
        </is>
      </c>
      <c r="D4985">
        <f>HYPERLINK("https://www.youtube.com/watch?v=DTL4TCCbk3k&amp;t=118s", "Go to time")</f>
        <v/>
      </c>
    </row>
    <row r="4986">
      <c r="A4986">
        <f>HYPERLINK("https://www.youtube.com/watch?v=DTL4TCCbk3k", "Video")</f>
        <v/>
      </c>
      <c r="B4986" t="inlineStr">
        <is>
          <t>2:00</t>
        </is>
      </c>
      <c r="C4986" t="inlineStr">
        <is>
          <t>reinforce the uh the drive line on the</t>
        </is>
      </c>
      <c r="D4986">
        <f>HYPERLINK("https://www.youtube.com/watch?v=DTL4TCCbk3k&amp;t=120s", "Go to time")</f>
        <v/>
      </c>
    </row>
    <row r="4987">
      <c r="A4987">
        <f>HYPERLINK("https://www.youtube.com/watch?v=4UmeZioU1KQ", "Video")</f>
        <v/>
      </c>
      <c r="B4987" t="inlineStr">
        <is>
          <t>0:01</t>
        </is>
      </c>
      <c r="C4987" t="inlineStr">
        <is>
          <t>drivers of New York City's horsedrawn</t>
        </is>
      </c>
      <c r="D4987">
        <f>HYPERLINK("https://www.youtube.com/watch?v=4UmeZioU1KQ&amp;t=1s", "Go to time")</f>
        <v/>
      </c>
    </row>
    <row r="4988">
      <c r="A4988">
        <f>HYPERLINK("https://www.youtube.com/watch?v=4UmeZioU1KQ", "Video")</f>
        <v/>
      </c>
      <c r="B4988" t="inlineStr">
        <is>
          <t>0:19</t>
        </is>
      </c>
      <c r="C4988" t="inlineStr">
        <is>
          <t>the carriage drivers Union that lets</t>
        </is>
      </c>
      <c r="D4988">
        <f>HYPERLINK("https://www.youtube.com/watch?v=4UmeZioU1KQ&amp;t=19s", "Go to time")</f>
        <v/>
      </c>
    </row>
    <row r="4989">
      <c r="A4989">
        <f>HYPERLINK("https://www.youtube.com/watch?v=4UmeZioU1KQ", "Video")</f>
        <v/>
      </c>
      <c r="B4989" t="inlineStr">
        <is>
          <t>0:25</t>
        </is>
      </c>
      <c r="C4989" t="inlineStr">
        <is>
          <t>them to Central Park carriage drivers</t>
        </is>
      </c>
      <c r="D4989">
        <f>HYPERLINK("https://www.youtube.com/watch?v=4UmeZioU1KQ&amp;t=25s", "Go to time")</f>
        <v/>
      </c>
    </row>
    <row r="4990">
      <c r="A4990">
        <f>HYPERLINK("https://www.youtube.com/watch?v=4UmeZioU1KQ", "Video")</f>
        <v/>
      </c>
      <c r="B4990" t="inlineStr">
        <is>
          <t>1:09</t>
        </is>
      </c>
      <c r="C4990" t="inlineStr">
        <is>
          <t>balance Carriage drivers who met at</t>
        </is>
      </c>
      <c r="D4990">
        <f>HYPERLINK("https://www.youtube.com/watch?v=4UmeZioU1KQ&amp;t=69s", "Go to time")</f>
        <v/>
      </c>
    </row>
    <row r="4991">
      <c r="A4991">
        <f>HYPERLINK("https://www.youtube.com/watch?v=4UmeZioU1KQ", "Video")</f>
        <v/>
      </c>
      <c r="B4991" t="inlineStr">
        <is>
          <t>1:51</t>
        </is>
      </c>
      <c r="C4991" t="inlineStr">
        <is>
          <t>renovate drivers reacted to that aspect</t>
        </is>
      </c>
      <c r="D4991">
        <f>HYPERLINK("https://www.youtube.com/watch?v=4UmeZioU1KQ&amp;t=111s", "Go to time")</f>
        <v/>
      </c>
    </row>
    <row r="4992">
      <c r="A4992">
        <f>HYPERLINK("https://www.youtube.com/watch?v=a_4UCkY1s5A", "Video")</f>
        <v/>
      </c>
      <c r="B4992" t="inlineStr">
        <is>
          <t>1:41</t>
        </is>
      </c>
      <c r="C4992" t="inlineStr">
        <is>
          <t>the Romeo and Juliet effect and drive</t>
        </is>
      </c>
      <c r="D4992">
        <f>HYPERLINK("https://www.youtube.com/watch?v=a_4UCkY1s5A&amp;t=101s", "Go to time")</f>
        <v/>
      </c>
    </row>
    <row r="4993">
      <c r="A4993">
        <f>HYPERLINK("https://www.youtube.com/watch?v=9IzrRJNkGWY", "Video")</f>
        <v/>
      </c>
      <c r="B4993" t="inlineStr">
        <is>
          <t>3:07</t>
        </is>
      </c>
      <c r="C4993" t="inlineStr">
        <is>
          <t>music often they're driven by the same</t>
        </is>
      </c>
      <c r="D4993">
        <f>HYPERLINK("https://www.youtube.com/watch?v=9IzrRJNkGWY&amp;t=187s", "Go to time")</f>
        <v/>
      </c>
    </row>
    <row r="4994">
      <c r="A4994">
        <f>HYPERLINK("https://www.youtube.com/watch?v=9IzrRJNkGWY", "Video")</f>
        <v/>
      </c>
      <c r="B4994" t="inlineStr">
        <is>
          <t>4:18</t>
        </is>
      </c>
      <c r="C4994" t="inlineStr">
        <is>
          <t>I think that's uh probably what drives</t>
        </is>
      </c>
      <c r="D4994">
        <f>HYPERLINK("https://www.youtube.com/watch?v=9IzrRJNkGWY&amp;t=258s", "Go to time")</f>
        <v/>
      </c>
    </row>
    <row r="4995">
      <c r="A4995">
        <f>HYPERLINK("https://www.youtube.com/watch?v=uKF9t24LFS4", "Video")</f>
        <v/>
      </c>
      <c r="B4995" t="inlineStr">
        <is>
          <t>1:03</t>
        </is>
      </c>
      <c r="C4995" t="inlineStr">
        <is>
          <t>already very much driven by psychology</t>
        </is>
      </c>
      <c r="D4995">
        <f>HYPERLINK("https://www.youtube.com/watch?v=uKF9t24LFS4&amp;t=63s", "Go to time")</f>
        <v/>
      </c>
    </row>
    <row r="4996">
      <c r="A4996">
        <f>HYPERLINK("https://www.youtube.com/watch?v=moUrQM9RyVk", "Video")</f>
        <v/>
      </c>
      <c r="B4996" t="inlineStr">
        <is>
          <t>4:13</t>
        </is>
      </c>
      <c r="C4996" t="inlineStr">
        <is>
          <t>So it assists the driver</t>
        </is>
      </c>
      <c r="D4996">
        <f>HYPERLINK("https://www.youtube.com/watch?v=moUrQM9RyVk&amp;t=253s", "Go to time")</f>
        <v/>
      </c>
    </row>
    <row r="4997">
      <c r="A4997">
        <f>HYPERLINK("https://www.youtube.com/watch?v=moUrQM9RyVk", "Video")</f>
        <v/>
      </c>
      <c r="B4997" t="inlineStr">
        <is>
          <t>4:15</t>
        </is>
      </c>
      <c r="C4997" t="inlineStr">
        <is>
          <t>but the driver still has to be aware</t>
        </is>
      </c>
      <c r="D4997">
        <f>HYPERLINK("https://www.youtube.com/watch?v=moUrQM9RyVk&amp;t=255s", "Go to time")</f>
        <v/>
      </c>
    </row>
    <row r="4998">
      <c r="A4998">
        <f>HYPERLINK("https://www.youtube.com/watch?v=nNj89ohoYQ0", "Video")</f>
        <v/>
      </c>
      <c r="B4998" t="inlineStr">
        <is>
          <t>28:11</t>
        </is>
      </c>
      <c r="C4998" t="inlineStr">
        <is>
          <t>overdosed and died it drives home how</t>
        </is>
      </c>
      <c r="D4998">
        <f>HYPERLINK("https://www.youtube.com/watch?v=nNj89ohoYQ0&amp;t=1691s", "Go to time")</f>
        <v/>
      </c>
    </row>
    <row r="4999">
      <c r="A4999">
        <f>HYPERLINK("https://www.youtube.com/watch?v=l4NXFevrs2Y", "Video")</f>
        <v/>
      </c>
      <c r="B4999" t="inlineStr">
        <is>
          <t>0:18</t>
        </is>
      </c>
      <c r="C4999" t="inlineStr">
        <is>
          <t>drive dr. Ferdinand Porsches 1939 type</t>
        </is>
      </c>
      <c r="D4999">
        <f>HYPERLINK("https://www.youtube.com/watch?v=l4NXFevrs2Y&amp;t=18s", "Go to time")</f>
        <v/>
      </c>
    </row>
    <row r="5000">
      <c r="A5000">
        <f>HYPERLINK("https://www.youtube.com/watch?v=l4NXFevrs2Y", "Video")</f>
        <v/>
      </c>
      <c r="B5000" t="inlineStr">
        <is>
          <t>3:12</t>
        </is>
      </c>
      <c r="C5000" t="inlineStr">
        <is>
          <t>ways it drives like an old decrepit</t>
        </is>
      </c>
      <c r="D5000">
        <f>HYPERLINK("https://www.youtube.com/watch?v=l4NXFevrs2Y&amp;t=192s", "Go to time")</f>
        <v/>
      </c>
    </row>
    <row r="5001">
      <c r="A5001">
        <f>HYPERLINK("https://www.youtube.com/watch?v=5NVGV0Y2Wbc", "Video")</f>
        <v/>
      </c>
      <c r="B5001" t="inlineStr">
        <is>
          <t>0:00</t>
        </is>
      </c>
      <c r="C5001" t="inlineStr">
        <is>
          <t>we don't have red trucks we don't drive</t>
        </is>
      </c>
      <c r="D5001">
        <f>HYPERLINK("https://www.youtube.com/watch?v=5NVGV0Y2Wbc&amp;t=0s", "Go to time")</f>
        <v/>
      </c>
    </row>
    <row r="5002">
      <c r="A5002">
        <f>HYPERLINK("https://www.youtube.com/watch?v=lkyDv0xsAfE", "Video")</f>
        <v/>
      </c>
      <c r="B5002" t="inlineStr">
        <is>
          <t>0:03</t>
        </is>
      </c>
      <c r="C5002" t="inlineStr">
        <is>
          <t>a drive along California's Pacific Coast</t>
        </is>
      </c>
      <c r="D5002">
        <f>HYPERLINK("https://www.youtube.com/watch?v=lkyDv0xsAfE&amp;t=3s", "Go to time")</f>
        <v/>
      </c>
    </row>
    <row r="5003">
      <c r="A5003">
        <f>HYPERLINK("https://www.youtube.com/watch?v=lkyDv0xsAfE", "Video")</f>
        <v/>
      </c>
      <c r="B5003" t="inlineStr">
        <is>
          <t>3:05</t>
        </is>
      </c>
      <c r="C5003" t="inlineStr">
        <is>
          <t>awesome Word of Mouth driven clientele</t>
        </is>
      </c>
      <c r="D5003">
        <f>HYPERLINK("https://www.youtube.com/watch?v=lkyDv0xsAfE&amp;t=185s", "Go to time")</f>
        <v/>
      </c>
    </row>
    <row r="5004">
      <c r="A5004">
        <f>HYPERLINK("https://www.youtube.com/watch?v=OlCODY_drBc", "Video")</f>
        <v/>
      </c>
      <c r="B5004" t="inlineStr">
        <is>
          <t>2:10</t>
        </is>
      </c>
      <c r="C5004" t="inlineStr">
        <is>
          <t>- As you drive up to the airport</t>
        </is>
      </c>
      <c r="D5004">
        <f>HYPERLINK("https://www.youtube.com/watch?v=OlCODY_drBc&amp;t=130s", "Go to time")</f>
        <v/>
      </c>
    </row>
    <row r="5005">
      <c r="A5005">
        <f>HYPERLINK("https://www.youtube.com/watch?v=fc729RZ4XM0", "Video")</f>
        <v/>
      </c>
      <c r="B5005" t="inlineStr">
        <is>
          <t>4:20</t>
        </is>
      </c>
      <c r="C5005" t="inlineStr">
        <is>
          <t>continue to push for them and drive them home,</t>
        </is>
      </c>
      <c r="D5005">
        <f>HYPERLINK("https://www.youtube.com/watch?v=fc729RZ4XM0&amp;t=260s", "Go to time")</f>
        <v/>
      </c>
    </row>
    <row r="5006">
      <c r="A5006">
        <f>HYPERLINK("https://www.youtube.com/watch?v=7b-j8QhSeik", "Video")</f>
        <v/>
      </c>
      <c r="B5006" t="inlineStr">
        <is>
          <t>1:21</t>
        </is>
      </c>
      <c r="C5006" t="inlineStr">
        <is>
          <t>drives me nuts the second thing I want</t>
        </is>
      </c>
      <c r="D5006">
        <f>HYPERLINK("https://www.youtube.com/watch?v=7b-j8QhSeik&amp;t=81s", "Go to time")</f>
        <v/>
      </c>
    </row>
    <row r="5007">
      <c r="A5007">
        <f>HYPERLINK("https://www.youtube.com/watch?v=5aPmEQ7xgts", "Video")</f>
        <v/>
      </c>
      <c r="B5007" t="inlineStr">
        <is>
          <t>2:43</t>
        </is>
      </c>
      <c r="C5007" t="inlineStr">
        <is>
          <t>onedrive those are good storage spots</t>
        </is>
      </c>
      <c r="D5007">
        <f>HYPERLINK("https://www.youtube.com/watch?v=5aPmEQ7xgts&amp;t=163s", "Go to time")</f>
        <v/>
      </c>
    </row>
    <row r="5008">
      <c r="A5008">
        <f>HYPERLINK("https://www.youtube.com/watch?v=hx252TstJ2w", "Video")</f>
        <v/>
      </c>
      <c r="B5008" t="inlineStr">
        <is>
          <t>11:50</t>
        </is>
      </c>
      <c r="C5008" t="inlineStr">
        <is>
          <t>drive is it allows people to just go to</t>
        </is>
      </c>
      <c r="D5008">
        <f>HYPERLINK("https://www.youtube.com/watch?v=hx252TstJ2w&amp;t=710s", "Go to time")</f>
        <v/>
      </c>
    </row>
    <row r="5009">
      <c r="A5009">
        <f>HYPERLINK("https://www.youtube.com/watch?v=54hWMmB2yik", "Video")</f>
        <v/>
      </c>
      <c r="B5009" t="inlineStr">
        <is>
          <t>1:24</t>
        </is>
      </c>
      <c r="C5009" t="inlineStr">
        <is>
          <t>someone who needs to drive a truck and</t>
        </is>
      </c>
      <c r="D5009">
        <f>HYPERLINK("https://www.youtube.com/watch?v=54hWMmB2yik&amp;t=84s", "Go to time")</f>
        <v/>
      </c>
    </row>
    <row r="5010">
      <c r="A5010">
        <f>HYPERLINK("https://www.youtube.com/watch?v=UiuB1axBvog", "Video")</f>
        <v/>
      </c>
      <c r="B5010" t="inlineStr">
        <is>
          <t>0:45</t>
        </is>
      </c>
      <c r="C5010" t="inlineStr">
        <is>
          <t>Instead, the rally has been
driven by investor enthusiasm</t>
        </is>
      </c>
      <c r="D5010">
        <f>HYPERLINK("https://www.youtube.com/watch?v=UiuB1axBvog&amp;t=45s", "Go to time")</f>
        <v/>
      </c>
    </row>
    <row r="5011">
      <c r="A5011">
        <f>HYPERLINK("https://www.youtube.com/watch?v=UiuB1axBvog", "Video")</f>
        <v/>
      </c>
      <c r="B5011" t="inlineStr">
        <is>
          <t>4:46</t>
        </is>
      </c>
      <c r="C5011" t="inlineStr">
        <is>
          <t>actually helping to drive it up.</t>
        </is>
      </c>
      <c r="D5011">
        <f>HYPERLINK("https://www.youtube.com/watch?v=UiuB1axBvog&amp;t=286s", "Go to time")</f>
        <v/>
      </c>
    </row>
    <row r="5012">
      <c r="A5012">
        <f>HYPERLINK("https://www.youtube.com/watch?v=sHCBGDHhTqM", "Video")</f>
        <v/>
      </c>
      <c r="B5012" t="inlineStr">
        <is>
          <t>2:38</t>
        </is>
      </c>
      <c r="C5012" t="inlineStr">
        <is>
          <t>mutation driven cancer. Her daughter was</t>
        </is>
      </c>
      <c r="D5012">
        <f>HYPERLINK("https://www.youtube.com/watch?v=sHCBGDHhTqM&amp;t=158s", "Go to time")</f>
        <v/>
      </c>
    </row>
    <row r="5013">
      <c r="A5013">
        <f>HYPERLINK("https://www.youtube.com/watch?v=xuMSRx5bnDw", "Video")</f>
        <v/>
      </c>
      <c r="B5013" t="inlineStr">
        <is>
          <t>3:05</t>
        </is>
      </c>
      <c r="C5013" t="inlineStr">
        <is>
          <t>helped drive up revenue and
stock prices started to climb.</t>
        </is>
      </c>
      <c r="D5013">
        <f>HYPERLINK("https://www.youtube.com/watch?v=xuMSRx5bnDw&amp;t=185s", "Go to time")</f>
        <v/>
      </c>
    </row>
    <row r="5014">
      <c r="A5014">
        <f>HYPERLINK("https://www.youtube.com/watch?v=xuMSRx5bnDw", "Video")</f>
        <v/>
      </c>
      <c r="B5014" t="inlineStr">
        <is>
          <t>5:11</t>
        </is>
      </c>
      <c r="C5014" t="inlineStr">
        <is>
          <t>of the drive-through, but
when you order ahead of time,</t>
        </is>
      </c>
      <c r="D5014">
        <f>HYPERLINK("https://www.youtube.com/watch?v=xuMSRx5bnDw&amp;t=311s", "Go to time")</f>
        <v/>
      </c>
    </row>
    <row r="5015">
      <c r="A5015">
        <f>HYPERLINK("https://www.youtube.com/watch?v=xuMSRx5bnDw", "Video")</f>
        <v/>
      </c>
      <c r="B5015" t="inlineStr">
        <is>
          <t>5:16</t>
        </is>
      </c>
      <c r="C5015" t="inlineStr">
        <is>
          <t>You drive up and you pull to our window,</t>
        </is>
      </c>
      <c r="D5015">
        <f>HYPERLINK("https://www.youtube.com/watch?v=xuMSRx5bnDw&amp;t=316s", "Go to time")</f>
        <v/>
      </c>
    </row>
    <row r="5016">
      <c r="A5016">
        <f>HYPERLINK("https://www.youtube.com/watch?v=aykPcGxSHFs", "Video")</f>
        <v/>
      </c>
      <c r="B5016" t="inlineStr">
        <is>
          <t>1:25</t>
        </is>
      </c>
      <c r="C5016" t="inlineStr">
        <is>
          <t>including military bases,
to drive its interactions</t>
        </is>
      </c>
      <c r="D5016">
        <f>HYPERLINK("https://www.youtube.com/watch?v=aykPcGxSHFs&amp;t=85s", "Go to time")</f>
        <v/>
      </c>
    </row>
    <row r="5017">
      <c r="A5017">
        <f>HYPERLINK("https://www.youtube.com/watch?v=9hfqVrVIsyU", "Video")</f>
        <v/>
      </c>
      <c r="B5017" t="inlineStr">
        <is>
          <t>3:57</t>
        </is>
      </c>
      <c r="C5017" t="inlineStr">
        <is>
          <t>which is usually driven by the tides,</t>
        </is>
      </c>
      <c r="D5017">
        <f>HYPERLINK("https://www.youtube.com/watch?v=9hfqVrVIsyU&amp;t=237s", "Go to time")</f>
        <v/>
      </c>
    </row>
    <row r="5018">
      <c r="A5018">
        <f>HYPERLINK("https://www.youtube.com/watch?v=33w08QjumMc", "Video")</f>
        <v/>
      </c>
      <c r="B5018" t="inlineStr">
        <is>
          <t>3:36</t>
        </is>
      </c>
      <c r="C5018" t="inlineStr">
        <is>
          <t>dangerous to drive on the roads that</t>
        </is>
      </c>
      <c r="D5018">
        <f>HYPERLINK("https://www.youtube.com/watch?v=33w08QjumMc&amp;t=216s", "Go to time")</f>
        <v/>
      </c>
    </row>
    <row r="5019">
      <c r="A5019">
        <f>HYPERLINK("https://www.youtube.com/watch?v=5YKvhfs7N-E", "Video")</f>
        <v/>
      </c>
      <c r="B5019" t="inlineStr">
        <is>
          <t>2:25</t>
        </is>
      </c>
      <c r="C5019" t="inlineStr">
        <is>
          <t>consider it to be a prime driver of the</t>
        </is>
      </c>
      <c r="D5019">
        <f>HYPERLINK("https://www.youtube.com/watch?v=5YKvhfs7N-E&amp;t=145s", "Go to time")</f>
        <v/>
      </c>
    </row>
    <row r="5020">
      <c r="A5020">
        <f>HYPERLINK("https://www.youtube.com/watch?v=PgWv9_U2rqc", "Video")</f>
        <v/>
      </c>
      <c r="B5020" t="inlineStr">
        <is>
          <t>2:14</t>
        </is>
      </c>
      <c r="C5020" t="inlineStr">
        <is>
          <t>prices put caps on them Drive hard</t>
        </is>
      </c>
      <c r="D5020">
        <f>HYPERLINK("https://www.youtube.com/watch?v=PgWv9_U2rqc&amp;t=134s", "Go to time")</f>
        <v/>
      </c>
    </row>
    <row r="5021">
      <c r="A5021">
        <f>HYPERLINK("https://www.youtube.com/watch?v=PgWv9_U2rqc", "Video")</f>
        <v/>
      </c>
      <c r="B5021" t="inlineStr">
        <is>
          <t>2:39</t>
        </is>
      </c>
      <c r="C5021" t="inlineStr">
        <is>
          <t>power to drive down prices absolutely</t>
        </is>
      </c>
      <c r="D5021">
        <f>HYPERLINK("https://www.youtube.com/watch?v=PgWv9_U2rqc&amp;t=159s", "Go to time")</f>
        <v/>
      </c>
    </row>
    <row r="5022">
      <c r="A5022">
        <f>HYPERLINK("https://www.youtube.com/watch?v=JjEGhi5gqU4", "Video")</f>
        <v/>
      </c>
      <c r="B5022" t="inlineStr">
        <is>
          <t>2:17</t>
        </is>
      </c>
      <c r="C5022" t="inlineStr">
        <is>
          <t>"Advanced driver assistance systems."</t>
        </is>
      </c>
      <c r="D5022">
        <f>HYPERLINK("https://www.youtube.com/watch?v=JjEGhi5gqU4&amp;t=137s", "Go to time")</f>
        <v/>
      </c>
    </row>
    <row r="5023">
      <c r="A5023">
        <f>HYPERLINK("https://www.youtube.com/watch?v=JjEGhi5gqU4", "Video")</f>
        <v/>
      </c>
      <c r="B5023" t="inlineStr">
        <is>
          <t>4:50</t>
        </is>
      </c>
      <c r="C5023" t="inlineStr">
        <is>
          <t>of Tesla's current
driver assistance system,</t>
        </is>
      </c>
      <c r="D5023">
        <f>HYPERLINK("https://www.youtube.com/watch?v=JjEGhi5gqU4&amp;t=290s", "Go to time")</f>
        <v/>
      </c>
    </row>
    <row r="5024">
      <c r="A5024">
        <f>HYPERLINK("https://www.youtube.com/watch?v=JjEGhi5gqU4", "Video")</f>
        <v/>
      </c>
      <c r="B5024" t="inlineStr">
        <is>
          <t>5:43</t>
        </is>
      </c>
      <c r="C5024" t="inlineStr">
        <is>
          <t>the driver assistance
systems that they have,</t>
        </is>
      </c>
      <c r="D5024">
        <f>HYPERLINK("https://www.youtube.com/watch?v=JjEGhi5gqU4&amp;t=343s", "Go to time")</f>
        <v/>
      </c>
    </row>
    <row r="5025">
      <c r="A5025">
        <f>HYPERLINK("https://www.youtube.com/watch?v=JjEGhi5gqU4", "Video")</f>
        <v/>
      </c>
      <c r="B5025" t="inlineStr">
        <is>
          <t>5:59</t>
        </is>
      </c>
      <c r="C5025" t="inlineStr">
        <is>
          <t>showing some drivers operating a Tesla</t>
        </is>
      </c>
      <c r="D5025">
        <f>HYPERLINK("https://www.youtube.com/watch?v=JjEGhi5gqU4&amp;t=359s", "Go to time")</f>
        <v/>
      </c>
    </row>
    <row r="5026">
      <c r="A5026">
        <f>HYPERLINK("https://www.youtube.com/watch?v=JjEGhi5gqU4", "Video")</f>
        <v/>
      </c>
      <c r="B5026" t="inlineStr">
        <is>
          <t>6:18</t>
        </is>
      </c>
      <c r="C5026" t="inlineStr">
        <is>
          <t>Meanwhile, XPENG is
working on a driver's test,</t>
        </is>
      </c>
      <c r="D5026">
        <f>HYPERLINK("https://www.youtube.com/watch?v=JjEGhi5gqU4&amp;t=378s", "Go to time")</f>
        <v/>
      </c>
    </row>
    <row r="5027">
      <c r="A5027">
        <f>HYPERLINK("https://www.youtube.com/watch?v=JjEGhi5gqU4", "Video")</f>
        <v/>
      </c>
      <c r="B5027" t="inlineStr">
        <is>
          <t>6:24</t>
        </is>
      </c>
      <c r="C5027" t="inlineStr">
        <is>
          <t>- For our drivers to be able to unlock</t>
        </is>
      </c>
      <c r="D5027">
        <f>HYPERLINK("https://www.youtube.com/watch?v=JjEGhi5gqU4&amp;t=384s", "Go to time")</f>
        <v/>
      </c>
    </row>
    <row r="5028">
      <c r="A5028">
        <f>HYPERLINK("https://www.youtube.com/watch?v=JjEGhi5gqU4", "Video")</f>
        <v/>
      </c>
      <c r="B5028" t="inlineStr">
        <is>
          <t>6:30</t>
        </is>
      </c>
      <c r="C5028" t="inlineStr">
        <is>
          <t>We also need to educate the drivers</t>
        </is>
      </c>
      <c r="D5028">
        <f>HYPERLINK("https://www.youtube.com/watch?v=JjEGhi5gqU4&amp;t=390s", "Go to time")</f>
        <v/>
      </c>
    </row>
    <row r="5029">
      <c r="A5029">
        <f>HYPERLINK("https://www.youtube.com/watch?v=zDqa-WTb7u8", "Video")</f>
        <v/>
      </c>
      <c r="B5029" t="inlineStr">
        <is>
          <t>1:30</t>
        </is>
      </c>
      <c r="C5029" t="inlineStr">
        <is>
          <t>driven the five and a half hours to</t>
        </is>
      </c>
      <c r="D5029">
        <f>HYPERLINK("https://www.youtube.com/watch?v=zDqa-WTb7u8&amp;t=90s", "Go to time")</f>
        <v/>
      </c>
    </row>
    <row r="5030">
      <c r="A5030">
        <f>HYPERLINK("https://www.youtube.com/watch?v=ztRdglQPQsA", "Video")</f>
        <v/>
      </c>
      <c r="B5030" t="inlineStr">
        <is>
          <t>0:02</t>
        </is>
      </c>
      <c r="C5030" t="inlineStr">
        <is>
          <t>Kurdish Fighters drive victoriously</t>
        </is>
      </c>
      <c r="D5030">
        <f>HYPERLINK("https://www.youtube.com/watch?v=ztRdglQPQsA&amp;t=2s", "Go to time")</f>
        <v/>
      </c>
    </row>
    <row r="5031">
      <c r="A5031">
        <f>HYPERLINK("https://www.youtube.com/watch?v=oOAzFIeMBcg", "Video")</f>
        <v/>
      </c>
      <c r="B5031" t="inlineStr">
        <is>
          <t>1:27</t>
        </is>
      </c>
      <c r="C5031" t="inlineStr">
        <is>
          <t>who studies data driven geotechnology.</t>
        </is>
      </c>
      <c r="D5031">
        <f>HYPERLINK("https://www.youtube.com/watch?v=oOAzFIeMBcg&amp;t=87s", "Go to time")</f>
        <v/>
      </c>
    </row>
    <row r="5032">
      <c r="A5032">
        <f>HYPERLINK("https://www.youtube.com/watch?v=oOAzFIeMBcg", "Video")</f>
        <v/>
      </c>
      <c r="B5032" t="inlineStr">
        <is>
          <t>7:10</t>
        </is>
      </c>
      <c r="C5032" t="inlineStr">
        <is>
          <t>and how long the walk
or the drive may take.</t>
        </is>
      </c>
      <c r="D5032">
        <f>HYPERLINK("https://www.youtube.com/watch?v=oOAzFIeMBcg&amp;t=430s", "Go to time")</f>
        <v/>
      </c>
    </row>
    <row r="5033">
      <c r="A5033">
        <f>HYPERLINK("https://www.youtube.com/watch?v=WEljrrHHLDo", "Video")</f>
        <v/>
      </c>
      <c r="B5033" t="inlineStr">
        <is>
          <t>0:57</t>
        </is>
      </c>
      <c r="C5033" t="inlineStr">
        <is>
          <t>well and he's the person who drives the</t>
        </is>
      </c>
      <c r="D5033">
        <f>HYPERLINK("https://www.youtube.com/watch?v=WEljrrHHLDo&amp;t=57s", "Go to time")</f>
        <v/>
      </c>
    </row>
    <row r="5034">
      <c r="A5034">
        <f>HYPERLINK("https://www.youtube.com/watch?v=hMlSe32gj1A", "Video")</f>
        <v/>
      </c>
      <c r="B5034" t="inlineStr">
        <is>
          <t>1:48</t>
        </is>
      </c>
      <c r="C5034" t="inlineStr">
        <is>
          <t>really low and it definitely drives up</t>
        </is>
      </c>
      <c r="D5034">
        <f>HYPERLINK("https://www.youtube.com/watch?v=hMlSe32gj1A&amp;t=108s", "Go to time")</f>
        <v/>
      </c>
    </row>
    <row r="5035">
      <c r="A5035">
        <f>HYPERLINK("https://www.youtube.com/watch?v=qw2nx-I-jAA", "Video")</f>
        <v/>
      </c>
      <c r="B5035" t="inlineStr">
        <is>
          <t>0:11</t>
        </is>
      </c>
      <c r="C5035" t="inlineStr">
        <is>
          <t>Our goal first that drives everything</t>
        </is>
      </c>
      <c r="D5035">
        <f>HYPERLINK("https://www.youtube.com/watch?v=qw2nx-I-jAA&amp;t=11s", "Go to time")</f>
        <v/>
      </c>
    </row>
    <row r="5036">
      <c r="A5036">
        <f>HYPERLINK("https://www.youtube.com/watch?v=chsKrta7m6c", "Video")</f>
        <v/>
      </c>
      <c r="B5036" t="inlineStr">
        <is>
          <t>0:49</t>
        </is>
      </c>
      <c r="C5036" t="inlineStr">
        <is>
          <t>17-minute drive from Disney which is</t>
        </is>
      </c>
      <c r="D5036">
        <f>HYPERLINK("https://www.youtube.com/watch?v=chsKrta7m6c&amp;t=49s", "Go to time")</f>
        <v/>
      </c>
    </row>
    <row r="5037">
      <c r="A5037">
        <f>HYPERLINK("https://www.youtube.com/watch?v=chsKrta7m6c", "Video")</f>
        <v/>
      </c>
      <c r="B5037" t="inlineStr">
        <is>
          <t>2:39</t>
        </is>
      </c>
      <c r="C5037" t="inlineStr">
        <is>
          <t>that we were just a couple minute drive</t>
        </is>
      </c>
      <c r="D5037">
        <f>HYPERLINK("https://www.youtube.com/watch?v=chsKrta7m6c&amp;t=159s", "Go to time")</f>
        <v/>
      </c>
    </row>
    <row r="5038">
      <c r="A5038">
        <f>HYPERLINK("https://www.youtube.com/watch?v=osmCpbtpMDA", "Video")</f>
        <v/>
      </c>
      <c r="B5038" t="inlineStr">
        <is>
          <t>1:18</t>
        </is>
      </c>
      <c r="C5038" t="inlineStr">
        <is>
          <t>technology and drive down the cost</t>
        </is>
      </c>
      <c r="D5038">
        <f>HYPERLINK("https://www.youtube.com/watch?v=osmCpbtpMDA&amp;t=78s", "Go to time")</f>
        <v/>
      </c>
    </row>
    <row r="5039">
      <c r="A5039">
        <f>HYPERLINK("https://www.youtube.com/watch?v=JgR6oDPYVk0", "Video")</f>
        <v/>
      </c>
      <c r="B5039" t="inlineStr">
        <is>
          <t>2:30</t>
        </is>
      </c>
      <c r="C5039" t="inlineStr">
        <is>
          <t>This is largely driven by
the technology's wide range</t>
        </is>
      </c>
      <c r="D5039">
        <f>HYPERLINK("https://www.youtube.com/watch?v=JgR6oDPYVk0&amp;t=150s", "Go to time")</f>
        <v/>
      </c>
    </row>
    <row r="5040">
      <c r="A5040">
        <f>HYPERLINK("https://www.youtube.com/watch?v=CILDnGRjp8I", "Video")</f>
        <v/>
      </c>
      <c r="B5040" t="inlineStr">
        <is>
          <t>5:28</t>
        </is>
      </c>
      <c r="C5040" t="inlineStr">
        <is>
          <t>you say those career changes were driven</t>
        </is>
      </c>
      <c r="D5040">
        <f>HYPERLINK("https://www.youtube.com/watch?v=CILDnGRjp8I&amp;t=328s", "Go to time")</f>
        <v/>
      </c>
    </row>
    <row r="5041">
      <c r="A5041">
        <f>HYPERLINK("https://www.youtube.com/watch?v=XwN_ltq_tKE", "Video")</f>
        <v/>
      </c>
      <c r="B5041" t="inlineStr">
        <is>
          <t>0:47</t>
        </is>
      </c>
      <c r="C5041" t="inlineStr">
        <is>
          <t>learn to drive indoors as part of a</t>
        </is>
      </c>
      <c r="D5041">
        <f>HYPERLINK("https://www.youtube.com/watch?v=XwN_ltq_tKE&amp;t=47s", "Go to time")</f>
        <v/>
      </c>
    </row>
    <row r="5042">
      <c r="A5042">
        <f>HYPERLINK("https://www.youtube.com/watch?v=XwN_ltq_tKE", "Video")</f>
        <v/>
      </c>
      <c r="B5042" t="inlineStr">
        <is>
          <t>0:53</t>
        </is>
      </c>
      <c r="C5042" t="inlineStr">
        <is>
          <t>drive a vehicle and that answer was a</t>
        </is>
      </c>
      <c r="D5042">
        <f>HYPERLINK("https://www.youtube.com/watch?v=XwN_ltq_tKE&amp;t=53s", "Go to time")</f>
        <v/>
      </c>
    </row>
    <row r="5043">
      <c r="A5043">
        <f>HYPERLINK("https://www.youtube.com/watch?v=XwN_ltq_tKE", "Video")</f>
        <v/>
      </c>
      <c r="B5043" t="inlineStr">
        <is>
          <t>0:55</t>
        </is>
      </c>
      <c r="C5043" t="inlineStr">
        <is>
          <t>resounding yes so a goldfish can drive</t>
        </is>
      </c>
      <c r="D5043">
        <f>HYPERLINK("https://www.youtube.com/watch?v=XwN_ltq_tKE&amp;t=55s", "Go to time")</f>
        <v/>
      </c>
    </row>
    <row r="5044">
      <c r="A5044">
        <f>HYPERLINK("https://www.youtube.com/watch?v=XwN_ltq_tKE", "Video")</f>
        <v/>
      </c>
      <c r="B5044" t="inlineStr">
        <is>
          <t>1:14</t>
        </is>
      </c>
      <c r="C5044" t="inlineStr">
        <is>
          <t>fish to drive the brain's plasticity or</t>
        </is>
      </c>
      <c r="D5044">
        <f>HYPERLINK("https://www.youtube.com/watch?v=XwN_ltq_tKE&amp;t=74s", "Go to time")</f>
        <v/>
      </c>
    </row>
    <row r="5045">
      <c r="A5045">
        <f>HYPERLINK("https://www.youtube.com/watch?v=XwN_ltq_tKE", "Video")</f>
        <v/>
      </c>
      <c r="B5045" t="inlineStr">
        <is>
          <t>2:06</t>
        </is>
      </c>
      <c r="C5045" t="inlineStr">
        <is>
          <t>we learn to ride a bike or drive a car</t>
        </is>
      </c>
      <c r="D5045">
        <f>HYPERLINK("https://www.youtube.com/watch?v=XwN_ltq_tKE&amp;t=126s", "Go to time")</f>
        <v/>
      </c>
    </row>
    <row r="5046">
      <c r="A5046">
        <f>HYPERLINK("https://www.youtube.com/watch?v=XwN_ltq_tKE", "Video")</f>
        <v/>
      </c>
      <c r="B5046" t="inlineStr">
        <is>
          <t>4:56</t>
        </is>
      </c>
      <c r="C5046" t="inlineStr">
        <is>
          <t>drive neurons are so wonderful like</t>
        </is>
      </c>
      <c r="D5046">
        <f>HYPERLINK("https://www.youtube.com/watch?v=XwN_ltq_tKE&amp;t=296s", "Go to time")</f>
        <v/>
      </c>
    </row>
    <row r="5047">
      <c r="A5047">
        <f>HYPERLINK("https://www.youtube.com/watch?v=XwN_ltq_tKE", "Video")</f>
        <v/>
      </c>
      <c r="B5047" t="inlineStr">
        <is>
          <t>6:08</t>
        </is>
      </c>
      <c r="C5047" t="inlineStr">
        <is>
          <t>you're interested in human drivers check</t>
        </is>
      </c>
      <c r="D5047">
        <f>HYPERLINK("https://www.youtube.com/watch?v=XwN_ltq_tKE&amp;t=368s", "Go to time")</f>
        <v/>
      </c>
    </row>
    <row r="5048">
      <c r="A5048">
        <f>HYPERLINK("https://www.youtube.com/watch?v=Eo1uV-5h87U", "Video")</f>
        <v/>
      </c>
      <c r="B5048" t="inlineStr">
        <is>
          <t>1:21</t>
        </is>
      </c>
      <c r="C5048" t="inlineStr">
        <is>
          <t>tape measures and computer hard drives.</t>
        </is>
      </c>
      <c r="D5048">
        <f>HYPERLINK("https://www.youtube.com/watch?v=Eo1uV-5h87U&amp;t=81s", "Go to time")</f>
        <v/>
      </c>
    </row>
    <row r="5049">
      <c r="A5049">
        <f>HYPERLINK("https://www.youtube.com/watch?v=Eo1uV-5h87U", "Video")</f>
        <v/>
      </c>
      <c r="B5049" t="inlineStr">
        <is>
          <t>4:18</t>
        </is>
      </c>
      <c r="C5049" t="inlineStr">
        <is>
          <t>and a pandemic driven
collapse in air travel.</t>
        </is>
      </c>
      <c r="D5049">
        <f>HYPERLINK("https://www.youtube.com/watch?v=Eo1uV-5h87U&amp;t=258s", "Go to time")</f>
        <v/>
      </c>
    </row>
    <row r="5050">
      <c r="A5050">
        <f>HYPERLINK("https://www.youtube.com/watch?v=eyBZWrp9P4U", "Video")</f>
        <v/>
      </c>
      <c r="B5050" t="inlineStr">
        <is>
          <t>1:45</t>
        </is>
      </c>
      <c r="C5050" t="inlineStr">
        <is>
          <t>High demand in the bond
market drives up prices</t>
        </is>
      </c>
      <c r="D5050">
        <f>HYPERLINK("https://www.youtube.com/watch?v=eyBZWrp9P4U&amp;t=105s", "Go to time")</f>
        <v/>
      </c>
    </row>
    <row r="5051">
      <c r="A5051">
        <f>HYPERLINK("https://www.youtube.com/watch?v=eyBZWrp9P4U", "Video")</f>
        <v/>
      </c>
      <c r="B5051" t="inlineStr">
        <is>
          <t>1:48</t>
        </is>
      </c>
      <c r="C5051" t="inlineStr">
        <is>
          <t>and drives down yields.</t>
        </is>
      </c>
      <c r="D5051">
        <f>HYPERLINK("https://www.youtube.com/watch?v=eyBZWrp9P4U&amp;t=108s", "Go to time")</f>
        <v/>
      </c>
    </row>
    <row r="5052">
      <c r="A5052">
        <f>HYPERLINK("https://www.youtube.com/watch?v=eyBZWrp9P4U", "Video")</f>
        <v/>
      </c>
      <c r="B5052" t="inlineStr">
        <is>
          <t>2:47</t>
        </is>
      </c>
      <c r="C5052" t="inlineStr">
        <is>
          <t>This drives up demand.</t>
        </is>
      </c>
      <c r="D5052">
        <f>HYPERLINK("https://www.youtube.com/watch?v=eyBZWrp9P4U&amp;t=167s", "Go to time")</f>
        <v/>
      </c>
    </row>
    <row r="5053">
      <c r="A5053">
        <f>HYPERLINK("https://www.youtube.com/watch?v=eyBZWrp9P4U", "Video")</f>
        <v/>
      </c>
      <c r="B5053" t="inlineStr">
        <is>
          <t>2:53</t>
        </is>
      </c>
      <c r="C5053" t="inlineStr">
        <is>
          <t>and driven down yields, so
much so that they are now</t>
        </is>
      </c>
      <c r="D5053">
        <f>HYPERLINK("https://www.youtube.com/watch?v=eyBZWrp9P4U&amp;t=173s", "Go to time")</f>
        <v/>
      </c>
    </row>
    <row r="5054">
      <c r="A5054">
        <f>HYPERLINK("https://www.youtube.com/watch?v=ErFR0NfQheQ", "Video")</f>
        <v/>
      </c>
      <c r="B5054" t="inlineStr">
        <is>
          <t>0:08</t>
        </is>
      </c>
      <c r="C5054" t="inlineStr">
        <is>
          <t>push the boundary of driverless cars</t>
        </is>
      </c>
      <c r="D5054">
        <f>HYPERLINK("https://www.youtube.com/watch?v=ErFR0NfQheQ&amp;t=8s", "Go to time")</f>
        <v/>
      </c>
    </row>
    <row r="5055">
      <c r="A5055">
        <f>HYPERLINK("https://www.youtube.com/watch?v=ErFR0NfQheQ", "Video")</f>
        <v/>
      </c>
      <c r="B5055" t="inlineStr">
        <is>
          <t>1:01</t>
        </is>
      </c>
      <c r="C5055" t="inlineStr">
        <is>
          <t>on a recent day I was able to test drive</t>
        </is>
      </c>
      <c r="D5055">
        <f>HYPERLINK("https://www.youtube.com/watch?v=ErFR0NfQheQ&amp;t=61s", "Go to time")</f>
        <v/>
      </c>
    </row>
    <row r="5056">
      <c r="A5056">
        <f>HYPERLINK("https://www.youtube.com/watch?v=ErFR0NfQheQ", "Video")</f>
        <v/>
      </c>
      <c r="B5056" t="inlineStr">
        <is>
          <t>1:12</t>
        </is>
      </c>
      <c r="C5056" t="inlineStr">
        <is>
          <t>model S requires the driver to be in a</t>
        </is>
      </c>
      <c r="D5056">
        <f>HYPERLINK("https://www.youtube.com/watch?v=ErFR0NfQheQ&amp;t=72s", "Go to time")</f>
        <v/>
      </c>
    </row>
    <row r="5057">
      <c r="A5057">
        <f>HYPERLINK("https://www.youtube.com/watch?v=ErFR0NfQheQ", "Video")</f>
        <v/>
      </c>
      <c r="B5057" t="inlineStr">
        <is>
          <t>1:38</t>
        </is>
      </c>
      <c r="C5057" t="inlineStr">
        <is>
          <t>slow down and bleep at the driver with a</t>
        </is>
      </c>
      <c r="D5057">
        <f>HYPERLINK("https://www.youtube.com/watch?v=ErFR0NfQheQ&amp;t=98s", "Go to time")</f>
        <v/>
      </c>
    </row>
    <row r="5058">
      <c r="A5058">
        <f>HYPERLINK("https://www.youtube.com/watch?v=ErFR0NfQheQ", "Video")</f>
        <v/>
      </c>
      <c r="B5058" t="inlineStr">
        <is>
          <t>1:40</t>
        </is>
      </c>
      <c r="C5058" t="inlineStr">
        <is>
          <t>warning Bell during my test drive the</t>
        </is>
      </c>
      <c r="D5058">
        <f>HYPERLINK("https://www.youtube.com/watch?v=ErFR0NfQheQ&amp;t=100s", "Go to time")</f>
        <v/>
      </c>
    </row>
    <row r="5059">
      <c r="A5059">
        <f>HYPERLINK("https://www.youtube.com/watch?v=Ekt0X-K1cHw", "Video")</f>
        <v/>
      </c>
      <c r="B5059" t="inlineStr">
        <is>
          <t>1:14</t>
        </is>
      </c>
      <c r="C5059" t="inlineStr">
        <is>
          <t>I drive granted a I knew it I knew it I</t>
        </is>
      </c>
      <c r="D5059">
        <f>HYPERLINK("https://www.youtube.com/watch?v=Ekt0X-K1cHw&amp;t=74s", "Go to time")</f>
        <v/>
      </c>
    </row>
    <row r="5060">
      <c r="A5060">
        <f>HYPERLINK("https://www.youtube.com/watch?v=b7raLj7Q8ww", "Video")</f>
        <v/>
      </c>
      <c r="B5060" t="inlineStr">
        <is>
          <t>1:39</t>
        </is>
      </c>
      <c r="C5060" t="inlineStr">
        <is>
          <t>over the summer, didn't
have enough truck drivers,</t>
        </is>
      </c>
      <c r="D5060">
        <f>HYPERLINK("https://www.youtube.com/watch?v=b7raLj7Q8ww&amp;t=99s", "Go to time")</f>
        <v/>
      </c>
    </row>
    <row r="5061">
      <c r="A5061">
        <f>HYPERLINK("https://www.youtube.com/watch?v=E_vuflcTuXU", "Video")</f>
        <v/>
      </c>
      <c r="B5061" t="inlineStr">
        <is>
          <t>1:14</t>
        </is>
      </c>
      <c r="C5061" t="inlineStr">
        <is>
          <t>worker shortages continuing to drive up</t>
        </is>
      </c>
      <c r="D5061">
        <f>HYPERLINK("https://www.youtube.com/watch?v=E_vuflcTuXU&amp;t=74s", "Go to time")</f>
        <v/>
      </c>
    </row>
    <row r="5062">
      <c r="A5062">
        <f>HYPERLINK("https://www.youtube.com/watch?v=aDYbGpHpo5Q", "Video")</f>
        <v/>
      </c>
      <c r="B5062" t="inlineStr">
        <is>
          <t>0:33</t>
        </is>
      </c>
      <c r="C5062" t="inlineStr">
        <is>
          <t>had driven one uh which I F thought was</t>
        </is>
      </c>
      <c r="D5062">
        <f>HYPERLINK("https://www.youtube.com/watch?v=aDYbGpHpo5Q&amp;t=33s", "Go to time")</f>
        <v/>
      </c>
    </row>
    <row r="5063">
      <c r="A5063">
        <f>HYPERLINK("https://www.youtube.com/watch?v=aDYbGpHpo5Q", "Video")</f>
        <v/>
      </c>
      <c r="B5063" t="inlineStr">
        <is>
          <t>1:00</t>
        </is>
      </c>
      <c r="C5063" t="inlineStr">
        <is>
          <t>lots of times and I'd never driven one</t>
        </is>
      </c>
      <c r="D5063">
        <f>HYPERLINK("https://www.youtube.com/watch?v=aDYbGpHpo5Q&amp;t=60s", "Go to time")</f>
        <v/>
      </c>
    </row>
    <row r="5064">
      <c r="A5064">
        <f>HYPERLINK("https://www.youtube.com/watch?v=aDYbGpHpo5Q", "Video")</f>
        <v/>
      </c>
      <c r="B5064" t="inlineStr">
        <is>
          <t>1:04</t>
        </is>
      </c>
      <c r="C5064" t="inlineStr">
        <is>
          <t>weeks ago I got a chance to drive theirs</t>
        </is>
      </c>
      <c r="D5064">
        <f>HYPERLINK("https://www.youtube.com/watch?v=aDYbGpHpo5Q&amp;t=64s", "Go to time")</f>
        <v/>
      </c>
    </row>
    <row r="5065">
      <c r="A5065">
        <f>HYPERLINK("https://www.youtube.com/watch?v=aDYbGpHpo5Q", "Video")</f>
        <v/>
      </c>
      <c r="B5065" t="inlineStr">
        <is>
          <t>1:13</t>
        </is>
      </c>
      <c r="C5065" t="inlineStr">
        <is>
          <t>us about the drive what was it like well</t>
        </is>
      </c>
      <c r="D5065">
        <f>HYPERLINK("https://www.youtube.com/watch?v=aDYbGpHpo5Q&amp;t=73s", "Go to time")</f>
        <v/>
      </c>
    </row>
    <row r="5066">
      <c r="A5066">
        <f>HYPERLINK("https://www.youtube.com/watch?v=chQIakWwEJ8", "Video")</f>
        <v/>
      </c>
      <c r="B5066" t="inlineStr">
        <is>
          <t>0:15</t>
        </is>
      </c>
      <c r="C5066" t="inlineStr">
        <is>
          <t>power plants and to drive more</t>
        </is>
      </c>
      <c r="D5066">
        <f>HYPERLINK("https://www.youtube.com/watch?v=chQIakWwEJ8&amp;t=15s", "Go to time")</f>
        <v/>
      </c>
    </row>
    <row r="5067">
      <c r="A5067">
        <f>HYPERLINK("https://www.youtube.com/watch?v=H2qLoaetLJM", "Video")</f>
        <v/>
      </c>
      <c r="B5067" t="inlineStr">
        <is>
          <t>22:41</t>
        </is>
      </c>
      <c r="C5067" t="inlineStr">
        <is>
          <t>that'll drive the future of
AI is entering a new phase.</t>
        </is>
      </c>
      <c r="D5067">
        <f>HYPERLINK("https://www.youtube.com/watch?v=H2qLoaetLJM&amp;t=1361s", "Go to time")</f>
        <v/>
      </c>
    </row>
    <row r="5068">
      <c r="A5068">
        <f>HYPERLINK("https://www.youtube.com/watch?v=H2qLoaetLJM", "Video")</f>
        <v/>
      </c>
      <c r="B5068" t="inlineStr">
        <is>
          <t>57:37</t>
        </is>
      </c>
      <c r="C5068" t="inlineStr">
        <is>
          <t>- The design of these
rockets is driven strongly</t>
        </is>
      </c>
      <c r="D5068">
        <f>HYPERLINK("https://www.youtube.com/watch?v=H2qLoaetLJM&amp;t=3457s", "Go to time")</f>
        <v/>
      </c>
    </row>
    <row r="5069">
      <c r="A5069">
        <f>HYPERLINK("https://www.youtube.com/watch?v=H2qLoaetLJM", "Video")</f>
        <v/>
      </c>
      <c r="B5069" t="inlineStr">
        <is>
          <t>58:21</t>
        </is>
      </c>
      <c r="C5069" t="inlineStr">
        <is>
          <t>- Reusability is what drives
down the cost so significantly</t>
        </is>
      </c>
      <c r="D5069">
        <f>HYPERLINK("https://www.youtube.com/watch?v=H2qLoaetLJM&amp;t=3501s", "Go to time")</f>
        <v/>
      </c>
    </row>
    <row r="5070">
      <c r="A5070">
        <f>HYPERLINK("https://www.youtube.com/watch?v=-sg8Dv-eOoE", "Video")</f>
        <v/>
      </c>
      <c r="B5070" t="inlineStr">
        <is>
          <t>0:00</t>
        </is>
      </c>
      <c r="C5070" t="inlineStr">
        <is>
          <t>- [Narrator] Anyone who
drives a car or trucks goods</t>
        </is>
      </c>
      <c r="D5070">
        <f>HYPERLINK("https://www.youtube.com/watch?v=-sg8Dv-eOoE&amp;t=0s", "Go to time")</f>
        <v/>
      </c>
    </row>
    <row r="5071">
      <c r="A5071">
        <f>HYPERLINK("https://www.youtube.com/watch?v=6U6zLlBy_Ek", "Video")</f>
        <v/>
      </c>
      <c r="B5071" t="inlineStr">
        <is>
          <t>14:41</t>
        </is>
      </c>
      <c r="C5071" t="inlineStr">
        <is>
          <t>is driven first and
foremost by the bottom line.</t>
        </is>
      </c>
      <c r="D5071">
        <f>HYPERLINK("https://www.youtube.com/watch?v=6U6zLlBy_Ek&amp;t=881s", "Go to time")</f>
        <v/>
      </c>
    </row>
    <row r="5072">
      <c r="A5072">
        <f>HYPERLINK("https://www.youtube.com/watch?v=6U6zLlBy_Ek", "Video")</f>
        <v/>
      </c>
      <c r="B5072" t="inlineStr">
        <is>
          <t>15:15</t>
        </is>
      </c>
      <c r="C5072" t="inlineStr">
        <is>
          <t>But the drive for profit
doesn't always lead</t>
        </is>
      </c>
      <c r="D5072">
        <f>HYPERLINK("https://www.youtube.com/watch?v=6U6zLlBy_Ek&amp;t=915s", "Go to time")</f>
        <v/>
      </c>
    </row>
    <row r="5073">
      <c r="A5073">
        <f>HYPERLINK("https://www.youtube.com/watch?v=6U6zLlBy_Ek", "Video")</f>
        <v/>
      </c>
      <c r="B5073" t="inlineStr">
        <is>
          <t>19:48</t>
        </is>
      </c>
      <c r="C5073" t="inlineStr">
        <is>
          <t>It's a major driver of the
health crisis in this country,</t>
        </is>
      </c>
      <c r="D5073">
        <f>HYPERLINK("https://www.youtube.com/watch?v=6U6zLlBy_Ek&amp;t=1188s", "Go to time")</f>
        <v/>
      </c>
    </row>
    <row r="5074">
      <c r="A5074">
        <f>HYPERLINK("https://www.youtube.com/watch?v=dLQiIhrutmA", "Video")</f>
        <v/>
      </c>
      <c r="B5074" t="inlineStr">
        <is>
          <t>0:18</t>
        </is>
      </c>
      <c r="C5074" t="inlineStr">
        <is>
          <t>- [Driver] Left our truck outside port.</t>
        </is>
      </c>
      <c r="D5074">
        <f>HYPERLINK("https://www.youtube.com/watch?v=dLQiIhrutmA&amp;t=18s", "Go to time")</f>
        <v/>
      </c>
    </row>
    <row r="5075">
      <c r="A5075">
        <f>HYPERLINK("https://www.youtube.com/watch?v=dLQiIhrutmA", "Video")</f>
        <v/>
      </c>
      <c r="B5075" t="inlineStr">
        <is>
          <t>0:20</t>
        </is>
      </c>
      <c r="C5075" t="inlineStr">
        <is>
          <t>Other driver take in,</t>
        </is>
      </c>
      <c r="D5075">
        <f>HYPERLINK("https://www.youtube.com/watch?v=dLQiIhrutmA&amp;t=20s", "Go to time")</f>
        <v/>
      </c>
    </row>
    <row r="5076">
      <c r="A5076">
        <f>HYPERLINK("https://www.youtube.com/watch?v=dLQiIhrutmA", "Video")</f>
        <v/>
      </c>
      <c r="B5076" t="inlineStr">
        <is>
          <t>2:10</t>
        </is>
      </c>
      <c r="C5076" t="inlineStr">
        <is>
          <t>The driver, we interviewed,
a soldier in the Russian army</t>
        </is>
      </c>
      <c r="D5076">
        <f>HYPERLINK("https://www.youtube.com/watch?v=dLQiIhrutmA&amp;t=130s", "Go to time")</f>
        <v/>
      </c>
    </row>
    <row r="5077">
      <c r="A5077">
        <f>HYPERLINK("https://www.youtube.com/watch?v=dLQiIhrutmA", "Video")</f>
        <v/>
      </c>
      <c r="B5077" t="inlineStr">
        <is>
          <t>2:21</t>
        </is>
      </c>
      <c r="C5077" t="inlineStr">
        <is>
          <t>- [Driver] With many trucks, 15 trucks.</t>
        </is>
      </c>
      <c r="D5077">
        <f>HYPERLINK("https://www.youtube.com/watch?v=dLQiIhrutmA&amp;t=141s", "Go to time")</f>
        <v/>
      </c>
    </row>
    <row r="5078">
      <c r="A5078">
        <f>HYPERLINK("https://www.youtube.com/watch?v=dLQiIhrutmA", "Video")</f>
        <v/>
      </c>
      <c r="B5078" t="inlineStr">
        <is>
          <t>2:33</t>
        </is>
      </c>
      <c r="C5078" t="inlineStr">
        <is>
          <t>we took wheat in, drive out.</t>
        </is>
      </c>
      <c r="D5078">
        <f>HYPERLINK("https://www.youtube.com/watch?v=dLQiIhrutmA&amp;t=153s", "Go to time")</f>
        <v/>
      </c>
    </row>
    <row r="5079">
      <c r="A5079">
        <f>HYPERLINK("https://www.youtube.com/watch?v=dLQiIhrutmA", "Video")</f>
        <v/>
      </c>
      <c r="B5079" t="inlineStr">
        <is>
          <t>2:54</t>
        </is>
      </c>
      <c r="C5079" t="inlineStr">
        <is>
          <t>The Russian driver we interviewed</t>
        </is>
      </c>
      <c r="D5079">
        <f>HYPERLINK("https://www.youtube.com/watch?v=dLQiIhrutmA&amp;t=174s", "Go to time")</f>
        <v/>
      </c>
    </row>
    <row r="5080">
      <c r="A5080">
        <f>HYPERLINK("https://www.youtube.com/watch?v=dLQiIhrutmA", "Video")</f>
        <v/>
      </c>
      <c r="B5080" t="inlineStr">
        <is>
          <t>2:56</t>
        </is>
      </c>
      <c r="C5080" t="inlineStr">
        <is>
          <t>confirmed that he and the
other drivers in his caravan</t>
        </is>
      </c>
      <c r="D5080">
        <f>HYPERLINK("https://www.youtube.com/watch?v=dLQiIhrutmA&amp;t=176s", "Go to time")</f>
        <v/>
      </c>
    </row>
    <row r="5081">
      <c r="A5081">
        <f>HYPERLINK("https://www.youtube.com/watch?v=dLQiIhrutmA", "Video")</f>
        <v/>
      </c>
      <c r="B5081" t="inlineStr">
        <is>
          <t>3:33</t>
        </is>
      </c>
      <c r="C5081" t="inlineStr">
        <is>
          <t>The Russian driver said
his convoy of trucks</t>
        </is>
      </c>
      <c r="D5081">
        <f>HYPERLINK("https://www.youtube.com/watch?v=dLQiIhrutmA&amp;t=213s", "Go to time")</f>
        <v/>
      </c>
    </row>
    <row r="5082">
      <c r="A5082">
        <f>HYPERLINK("https://www.youtube.com/watch?v=dLQiIhrutmA", "Video")</f>
        <v/>
      </c>
      <c r="B5082" t="inlineStr">
        <is>
          <t>3:40</t>
        </is>
      </c>
      <c r="C5082" t="inlineStr">
        <is>
          <t>- [Driver] I hear on the
radio we go to Sevastopol.</t>
        </is>
      </c>
      <c r="D5082">
        <f>HYPERLINK("https://www.youtube.com/watch?v=dLQiIhrutmA&amp;t=220s", "Go to time")</f>
        <v/>
      </c>
    </row>
    <row r="5083">
      <c r="A5083">
        <f>HYPERLINK("https://www.youtube.com/watch?v=dLQiIhrutmA", "Video")</f>
        <v/>
      </c>
      <c r="B5083" t="inlineStr">
        <is>
          <t>4:17</t>
        </is>
      </c>
      <c r="C5083" t="inlineStr">
        <is>
          <t>which were loaded with grain
and also driven into Crimea.</t>
        </is>
      </c>
      <c r="D5083">
        <f>HYPERLINK("https://www.youtube.com/watch?v=dLQiIhrutmA&amp;t=257s", "Go to time")</f>
        <v/>
      </c>
    </row>
    <row r="5084">
      <c r="A5084">
        <f>HYPERLINK("https://www.youtube.com/watch?v=dLQiIhrutmA", "Video")</f>
        <v/>
      </c>
      <c r="B5084" t="inlineStr">
        <is>
          <t>4:28</t>
        </is>
      </c>
      <c r="C5084" t="inlineStr">
        <is>
          <t>In addition to using truck
drivers from the Russian army,</t>
        </is>
      </c>
      <c r="D5084">
        <f>HYPERLINK("https://www.youtube.com/watch?v=dLQiIhrutmA&amp;t=268s", "Go to time")</f>
        <v/>
      </c>
    </row>
    <row r="5085">
      <c r="A5085">
        <f>HYPERLINK("https://www.youtube.com/watch?v=dLQiIhrutmA", "Video")</f>
        <v/>
      </c>
      <c r="B5085" t="inlineStr">
        <is>
          <t>4:31</t>
        </is>
      </c>
      <c r="C5085" t="inlineStr">
        <is>
          <t>drivers for these routes are also hired</t>
        </is>
      </c>
      <c r="D5085">
        <f>HYPERLINK("https://www.youtube.com/watch?v=dLQiIhrutmA&amp;t=271s", "Go to time")</f>
        <v/>
      </c>
    </row>
    <row r="5086">
      <c r="A5086">
        <f>HYPERLINK("https://www.youtube.com/watch?v=dLQiIhrutmA", "Video")</f>
        <v/>
      </c>
      <c r="B5086" t="inlineStr">
        <is>
          <t>4:47</t>
        </is>
      </c>
      <c r="C5086" t="inlineStr">
        <is>
          <t>This is a route similar to the
one our Russian driver took</t>
        </is>
      </c>
      <c r="D5086">
        <f>HYPERLINK("https://www.youtube.com/watch?v=dLQiIhrutmA&amp;t=287s", "Go to time")</f>
        <v/>
      </c>
    </row>
    <row r="5087">
      <c r="A5087">
        <f>HYPERLINK("https://www.youtube.com/watch?v=dLQiIhrutmA", "Video")</f>
        <v/>
      </c>
      <c r="B5087" t="inlineStr">
        <is>
          <t>5:15</t>
        </is>
      </c>
      <c r="C5087" t="inlineStr">
        <is>
          <t>Once in Crimea, the Russian driver</t>
        </is>
      </c>
      <c r="D5087">
        <f>HYPERLINK("https://www.youtube.com/watch?v=dLQiIhrutmA&amp;t=315s", "Go to time")</f>
        <v/>
      </c>
    </row>
    <row r="5088">
      <c r="A5088">
        <f>HYPERLINK("https://www.youtube.com/watch?v=dLQiIhrutmA", "Video")</f>
        <v/>
      </c>
      <c r="B5088" t="inlineStr">
        <is>
          <t>5:16</t>
        </is>
      </c>
      <c r="C5088" t="inlineStr">
        <is>
          <t>said he and the other drivers
dropped off the trucks</t>
        </is>
      </c>
      <c r="D5088">
        <f>HYPERLINK("https://www.youtube.com/watch?v=dLQiIhrutmA&amp;t=316s", "Go to time")</f>
        <v/>
      </c>
    </row>
    <row r="5089">
      <c r="A5089">
        <f>HYPERLINK("https://www.youtube.com/watch?v=dLQiIhrutmA", "Video")</f>
        <v/>
      </c>
      <c r="B5089" t="inlineStr">
        <is>
          <t>5:27</t>
        </is>
      </c>
      <c r="C5089" t="inlineStr">
        <is>
          <t>- [Driver] Left our truck outside port.</t>
        </is>
      </c>
      <c r="D5089">
        <f>HYPERLINK("https://www.youtube.com/watch?v=dLQiIhrutmA&amp;t=327s", "Go to time")</f>
        <v/>
      </c>
    </row>
    <row r="5090">
      <c r="A5090">
        <f>HYPERLINK("https://www.youtube.com/watch?v=dLQiIhrutmA", "Video")</f>
        <v/>
      </c>
      <c r="B5090" t="inlineStr">
        <is>
          <t>5:29</t>
        </is>
      </c>
      <c r="C5090" t="inlineStr">
        <is>
          <t>Other driver take in, put wheat on ships.</t>
        </is>
      </c>
      <c r="D5090">
        <f>HYPERLINK("https://www.youtube.com/watch?v=dLQiIhrutmA&amp;t=329s", "Go to time")</f>
        <v/>
      </c>
    </row>
    <row r="5091">
      <c r="A5091">
        <f>HYPERLINK("https://www.youtube.com/watch?v=dLQiIhrutmA", "Video")</f>
        <v/>
      </c>
      <c r="B5091" t="inlineStr">
        <is>
          <t>7:58</t>
        </is>
      </c>
      <c r="C5091" t="inlineStr">
        <is>
          <t>In our last conversation
with the Russian truck driver</t>
        </is>
      </c>
      <c r="D5091">
        <f>HYPERLINK("https://www.youtube.com/watch?v=dLQiIhrutmA&amp;t=478s", "Go to time")</f>
        <v/>
      </c>
    </row>
    <row r="5092">
      <c r="A5092">
        <f>HYPERLINK("https://www.youtube.com/watch?v=dLQiIhrutmA", "Video")</f>
        <v/>
      </c>
      <c r="B5092" t="inlineStr">
        <is>
          <t>8:05</t>
        </is>
      </c>
      <c r="C5092" t="inlineStr">
        <is>
          <t>- [Driver] I'm at the army
station at Sevastopol.</t>
        </is>
      </c>
      <c r="D5092">
        <f>HYPERLINK("https://www.youtube.com/watch?v=dLQiIhrutmA&amp;t=485s", "Go to time")</f>
        <v/>
      </c>
    </row>
    <row r="5093">
      <c r="A5093">
        <f>HYPERLINK("https://www.youtube.com/watch?v=dLQiIhrutmA", "Video")</f>
        <v/>
      </c>
      <c r="B5093" t="inlineStr">
        <is>
          <t>8:08</t>
        </is>
      </c>
      <c r="C5093" t="inlineStr">
        <is>
          <t>I think I drive again for wheat.</t>
        </is>
      </c>
      <c r="D5093">
        <f>HYPERLINK("https://www.youtube.com/watch?v=dLQiIhrutmA&amp;t=488s", "Go to time")</f>
        <v/>
      </c>
    </row>
    <row r="5094">
      <c r="A5094">
        <f>HYPERLINK("https://www.youtube.com/watch?v=swNgImx5Vwk", "Video")</f>
        <v/>
      </c>
      <c r="B5094" t="inlineStr">
        <is>
          <t>4:04</t>
        </is>
      </c>
      <c r="C5094" t="inlineStr">
        <is>
          <t>when everybody wanted to drive one,</t>
        </is>
      </c>
      <c r="D5094">
        <f>HYPERLINK("https://www.youtube.com/watch?v=swNgImx5Vwk&amp;t=244s", "Go to time")</f>
        <v/>
      </c>
    </row>
    <row r="5095">
      <c r="A5095">
        <f>HYPERLINK("https://www.youtube.com/watch?v=JX7ATRqoeA4", "Video")</f>
        <v/>
      </c>
      <c r="B5095" t="inlineStr">
        <is>
          <t>0:39</t>
        </is>
      </c>
      <c r="C5095" t="inlineStr">
        <is>
          <t>and driven up the
valuation of tech startups,</t>
        </is>
      </c>
      <c r="D5095">
        <f>HYPERLINK("https://www.youtube.com/watch?v=JX7ATRqoeA4&amp;t=39s", "Go to time")</f>
        <v/>
      </c>
    </row>
    <row r="5096">
      <c r="A5096">
        <f>HYPERLINK("https://www.youtube.com/watch?v=JX7ATRqoeA4", "Video")</f>
        <v/>
      </c>
      <c r="B5096" t="inlineStr">
        <is>
          <t>3:25</t>
        </is>
      </c>
      <c r="C5096" t="inlineStr">
        <is>
          <t>as well as to ride-hail drivers.</t>
        </is>
      </c>
      <c r="D5096">
        <f>HYPERLINK("https://www.youtube.com/watch?v=JX7ATRqoeA4&amp;t=205s", "Go to time")</f>
        <v/>
      </c>
    </row>
    <row r="5097">
      <c r="A5097">
        <f>HYPERLINK("https://www.youtube.com/watch?v=92oqOUNLdEY", "Video")</f>
        <v/>
      </c>
      <c r="B5097" t="inlineStr">
        <is>
          <t>0:24</t>
        </is>
      </c>
      <c r="C5097" t="inlineStr">
        <is>
          <t>engine and front-wheel drive the atlas</t>
        </is>
      </c>
      <c r="D5097">
        <f>HYPERLINK("https://www.youtube.com/watch?v=92oqOUNLdEY&amp;t=24s", "Go to time")</f>
        <v/>
      </c>
    </row>
    <row r="5098">
      <c r="A5098">
        <f>HYPERLINK("https://www.youtube.com/watch?v=92oqOUNLdEY", "Video")</f>
        <v/>
      </c>
      <c r="B5098" t="inlineStr">
        <is>
          <t>1:18</t>
        </is>
      </c>
      <c r="C5098" t="inlineStr">
        <is>
          <t>automatic with front-wheel drive and</t>
        </is>
      </c>
      <c r="D5098">
        <f>HYPERLINK("https://www.youtube.com/watch?v=92oqOUNLdEY&amp;t=78s", "Go to time")</f>
        <v/>
      </c>
    </row>
    <row r="5099">
      <c r="A5099">
        <f>HYPERLINK("https://www.youtube.com/watch?v=92oqOUNLdEY", "Video")</f>
        <v/>
      </c>
      <c r="B5099" t="inlineStr">
        <is>
          <t>1:20</t>
        </is>
      </c>
      <c r="C5099" t="inlineStr">
        <is>
          <t>optional on- demand all-wheel drive a</t>
        </is>
      </c>
      <c r="D5099">
        <f>HYPERLINK("https://www.youtube.com/watch?v=92oqOUNLdEY&amp;t=80s", "Go to time")</f>
        <v/>
      </c>
    </row>
    <row r="5100">
      <c r="A5100">
        <f>HYPERLINK("https://www.youtube.com/watch?v=92oqOUNLdEY", "Video")</f>
        <v/>
      </c>
      <c r="B5100" t="inlineStr">
        <is>
          <t>1:22</t>
        </is>
      </c>
      <c r="C5100" t="inlineStr">
        <is>
          <t>version with a 2 L 4 front drive only</t>
        </is>
      </c>
      <c r="D5100">
        <f>HYPERLINK("https://www.youtube.com/watch?v=92oqOUNLdEY&amp;t=82s", "Go to time")</f>
        <v/>
      </c>
    </row>
    <row r="5101">
      <c r="A5101">
        <f>HYPERLINK("https://www.youtube.com/watch?v=_0GlVsRbfb8", "Video")</f>
        <v/>
      </c>
      <c r="B5101" t="inlineStr">
        <is>
          <t>1:53</t>
        </is>
      </c>
      <c r="C5101" t="inlineStr">
        <is>
          <t>people do not want to drive a recalled</t>
        </is>
      </c>
      <c r="D5101">
        <f>HYPERLINK("https://www.youtube.com/watch?v=_0GlVsRbfb8&amp;t=113s", "Go to time")</f>
        <v/>
      </c>
    </row>
    <row r="5102">
      <c r="A5102">
        <f>HYPERLINK("https://www.youtube.com/watch?v=mLGmcXDVQck", "Video")</f>
        <v/>
      </c>
      <c r="B5102" t="inlineStr">
        <is>
          <t>1:44</t>
        </is>
      </c>
      <c r="C5102" t="inlineStr">
        <is>
          <t>really annoying chatty uber driver right</t>
        </is>
      </c>
      <c r="D5102">
        <f>HYPERLINK("https://www.youtube.com/watch?v=mLGmcXDVQck&amp;t=104s", "Go to time")</f>
        <v/>
      </c>
    </row>
    <row r="5103">
      <c r="A5103">
        <f>HYPERLINK("https://www.youtube.com/watch?v=mLGmcXDVQck", "Video")</f>
        <v/>
      </c>
      <c r="B5103" t="inlineStr">
        <is>
          <t>1:45</t>
        </is>
      </c>
      <c r="C5103" t="inlineStr">
        <is>
          <t>now how do you politely tell drivers to</t>
        </is>
      </c>
      <c r="D5103">
        <f>HYPERLINK("https://www.youtube.com/watch?v=mLGmcXDVQck&amp;t=105s", "Go to time")</f>
        <v/>
      </c>
    </row>
    <row r="5104">
      <c r="A5104">
        <f>HYPERLINK("https://www.youtube.com/watch?v=gnDQDogETzg", "Video")</f>
        <v/>
      </c>
      <c r="B5104" t="inlineStr">
        <is>
          <t>1:49</t>
        </is>
      </c>
      <c r="C5104" t="inlineStr">
        <is>
          <t>cap drivers</t>
        </is>
      </c>
      <c r="D5104">
        <f>HYPERLINK("https://www.youtube.com/watch?v=gnDQDogETzg&amp;t=109s", "Go to time")</f>
        <v/>
      </c>
    </row>
    <row r="5105">
      <c r="A5105">
        <f>HYPERLINK("https://www.youtube.com/watch?v=n0biRfq8PPs", "Video")</f>
        <v/>
      </c>
      <c r="B5105" t="inlineStr">
        <is>
          <t>0:14</t>
        </is>
      </c>
      <c r="C5105" t="inlineStr">
        <is>
          <t>department a thumb drive containing</t>
        </is>
      </c>
      <c r="D5105">
        <f>HYPERLINK("https://www.youtube.com/watch?v=n0biRfq8PPs&amp;t=14s", "Go to time")</f>
        <v/>
      </c>
    </row>
    <row r="5106">
      <c r="A5106">
        <f>HYPERLINK("https://www.youtube.com/watch?v=wpSbzHU5Jqg", "Video")</f>
        <v/>
      </c>
      <c r="B5106" t="inlineStr">
        <is>
          <t>4:08</t>
        </is>
      </c>
      <c r="C5106" t="inlineStr">
        <is>
          <t>- One of our key drivers
was James Dyson's belief</t>
        </is>
      </c>
      <c r="D5106">
        <f>HYPERLINK("https://www.youtube.com/watch?v=wpSbzHU5Jqg&amp;t=248s", "Go to time")</f>
        <v/>
      </c>
    </row>
    <row r="5107">
      <c r="A5107">
        <f>HYPERLINK("https://www.youtube.com/watch?v=zMZ58anSFF4", "Video")</f>
        <v/>
      </c>
      <c r="B5107" t="inlineStr">
        <is>
          <t>7:03</t>
        </is>
      </c>
      <c r="C5107" t="inlineStr">
        <is>
          <t>They will stop a vehicle if
he tries to drive through it.</t>
        </is>
      </c>
      <c r="D5107">
        <f>HYPERLINK("https://www.youtube.com/watch?v=zMZ58anSFF4&amp;t=423s", "Go to time")</f>
        <v/>
      </c>
    </row>
    <row r="5108">
      <c r="A5108">
        <f>HYPERLINK("https://www.youtube.com/watch?v=fX8xUwW2TjQ", "Video")</f>
        <v/>
      </c>
      <c r="B5108" t="inlineStr">
        <is>
          <t>1:54</t>
        </is>
      </c>
      <c r="C5108" t="inlineStr">
        <is>
          <t>is partly driven by a shrinking workforce.</t>
        </is>
      </c>
      <c r="D5108">
        <f>HYPERLINK("https://www.youtube.com/watch?v=fX8xUwW2TjQ&amp;t=114s", "Go to time")</f>
        <v/>
      </c>
    </row>
    <row r="5109">
      <c r="A5109">
        <f>HYPERLINK("https://www.youtube.com/watch?v=byYlC2cagLw", "Video")</f>
        <v/>
      </c>
      <c r="B5109" t="inlineStr">
        <is>
          <t>0:41</t>
        </is>
      </c>
      <c r="C5109" t="inlineStr">
        <is>
          <t>with A I or machine intelligence in general is that it replaces drivers or doctors or</t>
        </is>
      </c>
      <c r="D5109">
        <f>HYPERLINK("https://www.youtube.com/watch?v=byYlC2cagLw&amp;t=41s", "Go to time")</f>
        <v/>
      </c>
    </row>
    <row r="5110">
      <c r="A5110">
        <f>HYPERLINK("https://www.youtube.com/watch?v=8u8qZT33DX4", "Video")</f>
        <v/>
      </c>
      <c r="B5110" t="inlineStr">
        <is>
          <t>4:07</t>
        </is>
      </c>
      <c r="C5110" t="inlineStr">
        <is>
          <t>could help drive out bogus
digital private money.</t>
        </is>
      </c>
      <c r="D5110">
        <f>HYPERLINK("https://www.youtube.com/watch?v=8u8qZT33DX4&amp;t=247s", "Go to time")</f>
        <v/>
      </c>
    </row>
    <row r="5111">
      <c r="A5111">
        <f>HYPERLINK("https://www.youtube.com/watch?v=s5drsQAsTzA", "Video")</f>
        <v/>
      </c>
      <c r="B5111" t="inlineStr">
        <is>
          <t>1:25</t>
        </is>
      </c>
      <c r="C5111" t="inlineStr">
        <is>
          <t>- There's a few things that
drive the cost of what we do.</t>
        </is>
      </c>
      <c r="D5111">
        <f>HYPERLINK("https://www.youtube.com/watch?v=s5drsQAsTzA&amp;t=85s", "Go to time")</f>
        <v/>
      </c>
    </row>
    <row r="5112">
      <c r="A5112">
        <f>HYPERLINK("https://www.youtube.com/watch?v=038WDXvVDNA", "Video")</f>
        <v/>
      </c>
      <c r="B5112" t="inlineStr">
        <is>
          <t>0:15</t>
        </is>
      </c>
      <c r="C5112" t="inlineStr">
        <is>
          <t>school bus drivers there's such a severe</t>
        </is>
      </c>
      <c r="D5112">
        <f>HYPERLINK("https://www.youtube.com/watch?v=038WDXvVDNA&amp;t=15s", "Go to time")</f>
        <v/>
      </c>
    </row>
    <row r="5113">
      <c r="A5113">
        <f>HYPERLINK("https://www.youtube.com/watch?v=038WDXvVDNA", "Video")</f>
        <v/>
      </c>
      <c r="B5113" t="inlineStr">
        <is>
          <t>0:44</t>
        </is>
      </c>
      <c r="C5113" t="inlineStr">
        <is>
          <t>now bus driver shortages are nothing new</t>
        </is>
      </c>
      <c r="D5113">
        <f>HYPERLINK("https://www.youtube.com/watch?v=038WDXvVDNA&amp;t=44s", "Go to time")</f>
        <v/>
      </c>
    </row>
    <row r="5114">
      <c r="A5114">
        <f>HYPERLINK("https://www.youtube.com/watch?v=038WDXvVDNA", "Video")</f>
        <v/>
      </c>
      <c r="B5114" t="inlineStr">
        <is>
          <t>1:01</t>
        </is>
      </c>
      <c r="C5114" t="inlineStr">
        <is>
          <t>who responded describe their driver</t>
        </is>
      </c>
      <c r="D5114">
        <f>HYPERLINK("https://www.youtube.com/watch?v=038WDXvVDNA&amp;t=61s", "Go to time")</f>
        <v/>
      </c>
    </row>
    <row r="5115">
      <c r="A5115">
        <f>HYPERLINK("https://www.youtube.com/watch?v=038WDXvVDNA", "Video")</f>
        <v/>
      </c>
      <c r="B5115" t="inlineStr">
        <is>
          <t>1:08</t>
        </is>
      </c>
      <c r="C5115" t="inlineStr">
        <is>
          <t>many drivers have quit because they're</t>
        </is>
      </c>
      <c r="D5115">
        <f>HYPERLINK("https://www.youtube.com/watch?v=038WDXvVDNA&amp;t=68s", "Go to time")</f>
        <v/>
      </c>
    </row>
    <row r="5116">
      <c r="A5116">
        <f>HYPERLINK("https://www.youtube.com/watch?v=038WDXvVDNA", "Video")</f>
        <v/>
      </c>
      <c r="B5116" t="inlineStr">
        <is>
          <t>1:21</t>
        </is>
      </c>
      <c r="C5116" t="inlineStr">
        <is>
          <t>drivers that have stuck around they're</t>
        </is>
      </c>
      <c r="D5116">
        <f>HYPERLINK("https://www.youtube.com/watch?v=038WDXvVDNA&amp;t=81s", "Go to time")</f>
        <v/>
      </c>
    </row>
    <row r="5117">
      <c r="A5117">
        <f>HYPERLINK("https://www.youtube.com/watch?v=038WDXvVDNA", "Video")</f>
        <v/>
      </c>
      <c r="B5117" t="inlineStr">
        <is>
          <t>1:31</t>
        </is>
      </c>
      <c r="C5117" t="inlineStr">
        <is>
          <t>pandemic-driven issues are forcing</t>
        </is>
      </c>
      <c r="D5117">
        <f>HYPERLINK("https://www.youtube.com/watch?v=038WDXvVDNA&amp;t=91s", "Go to time")</f>
        <v/>
      </c>
    </row>
    <row r="5118">
      <c r="A5118">
        <f>HYPERLINK("https://www.youtube.com/watch?v=038WDXvVDNA", "Video")</f>
        <v/>
      </c>
      <c r="B5118" t="inlineStr">
        <is>
          <t>1:56</t>
        </is>
      </c>
      <c r="C5118" t="inlineStr">
        <is>
          <t>dealing with the driver shortage in</t>
        </is>
      </c>
      <c r="D5118">
        <f>HYPERLINK("https://www.youtube.com/watch?v=038WDXvVDNA&amp;t=116s", "Go to time")</f>
        <v/>
      </c>
    </row>
    <row r="5119">
      <c r="A5119">
        <f>HYPERLINK("https://www.youtube.com/watch?v=038WDXvVDNA", "Video")</f>
        <v/>
      </c>
      <c r="B5119" t="inlineStr">
        <is>
          <t>2:22</t>
        </is>
      </c>
      <c r="C5119" t="inlineStr">
        <is>
          <t>they're being trained to drive these</t>
        </is>
      </c>
      <c r="D5119">
        <f>HYPERLINK("https://www.youtube.com/watch?v=038WDXvVDNA&amp;t=142s", "Go to time")</f>
        <v/>
      </c>
    </row>
    <row r="5120">
      <c r="A5120">
        <f>HYPERLINK("https://www.youtube.com/watch?v=038WDXvVDNA", "Video")</f>
        <v/>
      </c>
      <c r="B5120" t="inlineStr">
        <is>
          <t>2:27</t>
        </is>
      </c>
      <c r="C5120" t="inlineStr">
        <is>
          <t>iron out their driver issues governor</t>
        </is>
      </c>
      <c r="D5120">
        <f>HYPERLINK("https://www.youtube.com/watch?v=038WDXvVDNA&amp;t=147s", "Go to time")</f>
        <v/>
      </c>
    </row>
    <row r="5121">
      <c r="A5121">
        <f>HYPERLINK("https://www.youtube.com/watch?v=038WDXvVDNA", "Video")</f>
        <v/>
      </c>
      <c r="B5121" t="inlineStr">
        <is>
          <t>2:56</t>
        </is>
      </c>
      <c r="C5121" t="inlineStr">
        <is>
          <t>to help drive carpool and one band-aid</t>
        </is>
      </c>
      <c r="D5121">
        <f>HYPERLINK("https://www.youtube.com/watch?v=038WDXvVDNA&amp;t=176s", "Go to time")</f>
        <v/>
      </c>
    </row>
    <row r="5122">
      <c r="A5122">
        <f>HYPERLINK("https://www.youtube.com/watch?v=038WDXvVDNA", "Video")</f>
        <v/>
      </c>
      <c r="B5122" t="inlineStr">
        <is>
          <t>3:39</t>
        </is>
      </c>
      <c r="C5122" t="inlineStr">
        <is>
          <t>private services to drive their kids to</t>
        </is>
      </c>
      <c r="D5122">
        <f>HYPERLINK("https://www.youtube.com/watch?v=038WDXvVDNA&amp;t=219s", "Go to time")</f>
        <v/>
      </c>
    </row>
    <row r="5123">
      <c r="A5123">
        <f>HYPERLINK("https://www.youtube.com/watch?v=038WDXvVDNA", "Video")</f>
        <v/>
      </c>
      <c r="B5123" t="inlineStr">
        <is>
          <t>3:54</t>
        </is>
      </c>
      <c r="C5123" t="inlineStr">
        <is>
          <t>surpassing the drivers that we have so</t>
        </is>
      </c>
      <c r="D5123">
        <f>HYPERLINK("https://www.youtube.com/watch?v=038WDXvVDNA&amp;t=234s", "Go to time")</f>
        <v/>
      </c>
    </row>
    <row r="5124">
      <c r="A5124">
        <f>HYPERLINK("https://www.youtube.com/watch?v=038WDXvVDNA", "Video")</f>
        <v/>
      </c>
      <c r="B5124" t="inlineStr">
        <is>
          <t>4:00</t>
        </is>
      </c>
      <c r="C5124" t="inlineStr">
        <is>
          <t>to continuously onboard drivers so that</t>
        </is>
      </c>
      <c r="D5124">
        <f>HYPERLINK("https://www.youtube.com/watch?v=038WDXvVDNA&amp;t=240s", "Go to time")</f>
        <v/>
      </c>
    </row>
    <row r="5125">
      <c r="A5125">
        <f>HYPERLINK("https://www.youtube.com/watch?v=038WDXvVDNA", "Video")</f>
        <v/>
      </c>
      <c r="B5125" t="inlineStr">
        <is>
          <t>4:50</t>
        </is>
      </c>
      <c r="C5125" t="inlineStr">
        <is>
          <t>drivers who have the necessary</t>
        </is>
      </c>
      <c r="D5125">
        <f>HYPERLINK("https://www.youtube.com/watch?v=038WDXvVDNA&amp;t=290s", "Go to time")</f>
        <v/>
      </c>
    </row>
    <row r="5126">
      <c r="A5126">
        <f>HYPERLINK("https://www.youtube.com/watch?v=038WDXvVDNA", "Video")</f>
        <v/>
      </c>
      <c r="B5126" t="inlineStr">
        <is>
          <t>4:52</t>
        </is>
      </c>
      <c r="C5126" t="inlineStr">
        <is>
          <t>commercial driver's license to drive</t>
        </is>
      </c>
      <c r="D5126">
        <f>HYPERLINK("https://www.youtube.com/watch?v=038WDXvVDNA&amp;t=292s", "Go to time")</f>
        <v/>
      </c>
    </row>
    <row r="5127">
      <c r="A5127">
        <f>HYPERLINK("https://www.youtube.com/watch?v=038WDXvVDNA", "Video")</f>
        <v/>
      </c>
      <c r="B5127" t="inlineStr">
        <is>
          <t>5:01</t>
        </is>
      </c>
      <c r="C5127" t="inlineStr">
        <is>
          <t>but until they hire more drivers current</t>
        </is>
      </c>
      <c r="D5127">
        <f>HYPERLINK("https://www.youtube.com/watch?v=038WDXvVDNA&amp;t=301s", "Go to time")</f>
        <v/>
      </c>
    </row>
    <row r="5128">
      <c r="A5128">
        <f>HYPERLINK("https://www.youtube.com/watch?v=038WDXvVDNA", "Video")</f>
        <v/>
      </c>
      <c r="B5128" t="inlineStr">
        <is>
          <t>5:04</t>
        </is>
      </c>
      <c r="C5128" t="inlineStr">
        <is>
          <t>drivers are often running double routes</t>
        </is>
      </c>
      <c r="D5128">
        <f>HYPERLINK("https://www.youtube.com/watch?v=038WDXvVDNA&amp;t=304s", "Go to time")</f>
        <v/>
      </c>
    </row>
    <row r="5129">
      <c r="A5129">
        <f>HYPERLINK("https://www.youtube.com/watch?v=038WDXvVDNA", "Video")</f>
        <v/>
      </c>
      <c r="B5129" t="inlineStr">
        <is>
          <t>5:21</t>
        </is>
      </c>
      <c r="C5129" t="inlineStr">
        <is>
          <t>take two months to get a new driver</t>
        </is>
      </c>
      <c r="D5129">
        <f>HYPERLINK("https://www.youtube.com/watch?v=038WDXvVDNA&amp;t=321s", "Go to time")</f>
        <v/>
      </c>
    </row>
    <row r="5130">
      <c r="A5130">
        <f>HYPERLINK("https://www.youtube.com/watch?v=038WDXvVDNA", "Video")</f>
        <v/>
      </c>
      <c r="B5130" t="inlineStr">
        <is>
          <t>5:27</t>
        </is>
      </c>
      <c r="C5130" t="inlineStr">
        <is>
          <t>affected by the bus driver shortage drop</t>
        </is>
      </c>
      <c r="D5130">
        <f>HYPERLINK("https://www.youtube.com/watch?v=038WDXvVDNA&amp;t=327s", "Go to time")</f>
        <v/>
      </c>
    </row>
    <row r="5131">
      <c r="A5131">
        <f>HYPERLINK("https://www.youtube.com/watch?v=DSyBvZnZGaE", "Video")</f>
        <v/>
      </c>
      <c r="B5131" t="inlineStr">
        <is>
          <t>0:20</t>
        </is>
      </c>
      <c r="C5131" t="inlineStr">
        <is>
          <t>his MOS to an 88 Mike a truck driver uh</t>
        </is>
      </c>
      <c r="D5131">
        <f>HYPERLINK("https://www.youtube.com/watch?v=DSyBvZnZGaE&amp;t=20s", "Go to time")</f>
        <v/>
      </c>
    </row>
    <row r="5132">
      <c r="A5132">
        <f>HYPERLINK("https://www.youtube.com/watch?v=DSyBvZnZGaE", "Video")</f>
        <v/>
      </c>
      <c r="B5132" t="inlineStr">
        <is>
          <t>0:32</t>
        </is>
      </c>
      <c r="C5132" t="inlineStr">
        <is>
          <t>to Iraq uh as a truck driver uh his</t>
        </is>
      </c>
      <c r="D5132">
        <f>HYPERLINK("https://www.youtube.com/watch?v=DSyBvZnZGaE&amp;t=32s", "Go to time")</f>
        <v/>
      </c>
    </row>
    <row r="5133">
      <c r="A5133">
        <f>HYPERLINK("https://www.youtube.com/watch?v=NgIZbRg1vOc", "Video")</f>
        <v/>
      </c>
      <c r="B5133" t="inlineStr">
        <is>
          <t>1:53</t>
        </is>
      </c>
      <c r="C5133" t="inlineStr">
        <is>
          <t>the forklift drivers had some fraction</t>
        </is>
      </c>
      <c r="D5133">
        <f>HYPERLINK("https://www.youtube.com/watch?v=NgIZbRg1vOc&amp;t=113s", "Go to time")</f>
        <v/>
      </c>
    </row>
    <row r="5134">
      <c r="A5134">
        <f>HYPERLINK("https://www.youtube.com/watch?v=NgIZbRg1vOc", "Video")</f>
        <v/>
      </c>
      <c r="B5134" t="inlineStr">
        <is>
          <t>3:59</t>
        </is>
      </c>
      <c r="C5134" t="inlineStr">
        <is>
          <t>- [Reporter] This
congestion, which was driven</t>
        </is>
      </c>
      <c r="D5134">
        <f>HYPERLINK("https://www.youtube.com/watch?v=NgIZbRg1vOc&amp;t=239s", "Go to time")</f>
        <v/>
      </c>
    </row>
    <row r="5135">
      <c r="A5135">
        <f>HYPERLINK("https://www.youtube.com/watch?v=WYgDwE9g0Hk", "Video")</f>
        <v/>
      </c>
      <c r="B5135" t="inlineStr">
        <is>
          <t>0:25</t>
        </is>
      </c>
      <c r="C5135" t="inlineStr">
        <is>
          <t>of its drivers but plaintiffs in the</t>
        </is>
      </c>
      <c r="D5135">
        <f>HYPERLINK("https://www.youtube.com/watch?v=WYgDwE9g0Hk&amp;t=25s", "Go to time")</f>
        <v/>
      </c>
    </row>
    <row r="5136">
      <c r="A5136">
        <f>HYPERLINK("https://www.youtube.com/watch?v=WYgDwE9g0Hk", "Video")</f>
        <v/>
      </c>
      <c r="B5136" t="inlineStr">
        <is>
          <t>0:27</t>
        </is>
      </c>
      <c r="C5136" t="inlineStr">
        <is>
          <t>case claim Uber didn't take driver</t>
        </is>
      </c>
      <c r="D5136">
        <f>HYPERLINK("https://www.youtube.com/watch?v=WYgDwE9g0Hk&amp;t=27s", "Go to time")</f>
        <v/>
      </c>
    </row>
    <row r="5137">
      <c r="A5137">
        <f>HYPERLINK("https://www.youtube.com/watch?v=WYgDwE9g0Hk", "Video")</f>
        <v/>
      </c>
      <c r="B5137" t="inlineStr">
        <is>
          <t>0:33</t>
        </is>
      </c>
      <c r="C5137" t="inlineStr">
        <is>
          <t>information about a driver's criminal</t>
        </is>
      </c>
      <c r="D5137">
        <f>HYPERLINK("https://www.youtube.com/watch?v=WYgDwE9g0Hk&amp;t=33s", "Go to time")</f>
        <v/>
      </c>
    </row>
    <row r="5138">
      <c r="A5138">
        <f>HYPERLINK("https://www.youtube.com/watch?v=WYgDwE9g0Hk", "Video")</f>
        <v/>
      </c>
      <c r="B5138" t="inlineStr">
        <is>
          <t>1:06</t>
        </is>
      </c>
      <c r="C5138" t="inlineStr">
        <is>
          <t>by three drivers who claim they are Uber</t>
        </is>
      </c>
      <c r="D5138">
        <f>HYPERLINK("https://www.youtube.com/watch?v=WYgDwE9g0Hk&amp;t=66s", "Go to time")</f>
        <v/>
      </c>
    </row>
    <row r="5139">
      <c r="A5139">
        <f>HYPERLINK("https://www.youtube.com/watch?v=WYgDwE9g0Hk", "Video")</f>
        <v/>
      </c>
      <c r="B5139" t="inlineStr">
        <is>
          <t>1:11</t>
        </is>
      </c>
      <c r="C5139" t="inlineStr">
        <is>
          <t>company could be forced to pay drivers</t>
        </is>
      </c>
      <c r="D5139">
        <f>HYPERLINK("https://www.youtube.com/watch?v=WYgDwE9g0Hk&amp;t=71s", "Go to time")</f>
        <v/>
      </c>
    </row>
    <row r="5140">
      <c r="A5140">
        <f>HYPERLINK("https://www.youtube.com/watch?v=WYgDwE9g0Hk", "Video")</f>
        <v/>
      </c>
      <c r="B5140" t="inlineStr">
        <is>
          <t>1:36</t>
        </is>
      </c>
      <c r="C5140" t="inlineStr">
        <is>
          <t>California drivers over their status as</t>
        </is>
      </c>
      <c r="D5140">
        <f>HYPERLINK("https://www.youtube.com/watch?v=WYgDwE9g0Hk&amp;t=96s", "Go to time")</f>
        <v/>
      </c>
    </row>
    <row r="5141">
      <c r="A5141">
        <f>HYPERLINK("https://www.youtube.com/watch?v=J7k9cNhrTmM", "Video")</f>
        <v/>
      </c>
      <c r="B5141" t="inlineStr">
        <is>
          <t>0:30</t>
        </is>
      </c>
      <c r="C5141" t="inlineStr">
        <is>
          <t>you know I think I'll always drive</t>
        </is>
      </c>
      <c r="D5141">
        <f>HYPERLINK("https://www.youtube.com/watch?v=J7k9cNhrTmM&amp;t=30s", "Go to time")</f>
        <v/>
      </c>
    </row>
    <row r="5142">
      <c r="A5142">
        <f>HYPERLINK("https://www.youtube.com/watch?v=J7k9cNhrTmM", "Video")</f>
        <v/>
      </c>
      <c r="B5142" t="inlineStr">
        <is>
          <t>0:32</t>
        </is>
      </c>
      <c r="C5142" t="inlineStr">
        <is>
          <t>because I love to drive on I'll use you</t>
        </is>
      </c>
      <c r="D5142">
        <f>HYPERLINK("https://www.youtube.com/watch?v=J7k9cNhrTmM&amp;t=32s", "Go to time")</f>
        <v/>
      </c>
    </row>
    <row r="5143">
      <c r="A5143">
        <f>HYPERLINK("https://www.youtube.com/watch?v=kdkeI60FXpI", "Video")</f>
        <v/>
      </c>
      <c r="B5143" t="inlineStr">
        <is>
          <t>5:12</t>
        </is>
      </c>
      <c r="C5143" t="inlineStr">
        <is>
          <t>it means being driven by a higher</t>
        </is>
      </c>
      <c r="D5143">
        <f>HYPERLINK("https://www.youtube.com/watch?v=kdkeI60FXpI&amp;t=312s", "Go to time")</f>
        <v/>
      </c>
    </row>
    <row r="5144">
      <c r="A5144">
        <f>HYPERLINK("https://www.youtube.com/watch?v=zt2AHboMNjw", "Video")</f>
        <v/>
      </c>
      <c r="B5144" t="inlineStr">
        <is>
          <t>9:47</t>
        </is>
      </c>
      <c r="C5144" t="inlineStr">
        <is>
          <t>you recovered it is make you more driven</t>
        </is>
      </c>
      <c r="D5144">
        <f>HYPERLINK("https://www.youtube.com/watch?v=zt2AHboMNjw&amp;t=587s", "Go to time")</f>
        <v/>
      </c>
    </row>
    <row r="5145">
      <c r="A5145">
        <f>HYPERLINK("https://www.youtube.com/watch?v=zt2AHboMNjw", "Video")</f>
        <v/>
      </c>
      <c r="B5145" t="inlineStr">
        <is>
          <t>10:16</t>
        </is>
      </c>
      <c r="C5145" t="inlineStr">
        <is>
          <t>found more of a drive for life and you</t>
        </is>
      </c>
      <c r="D5145">
        <f>HYPERLINK("https://www.youtube.com/watch?v=zt2AHboMNjw&amp;t=616s", "Go to time")</f>
        <v/>
      </c>
    </row>
    <row r="5146">
      <c r="A5146">
        <f>HYPERLINK("https://www.youtube.com/watch?v=zt2AHboMNjw", "Video")</f>
        <v/>
      </c>
      <c r="B5146" t="inlineStr">
        <is>
          <t>10:30</t>
        </is>
      </c>
      <c r="C5146" t="inlineStr">
        <is>
          <t>driven to go out and do stuff and on a</t>
        </is>
      </c>
      <c r="D5146">
        <f>HYPERLINK("https://www.youtube.com/watch?v=zt2AHboMNjw&amp;t=630s", "Go to time")</f>
        <v/>
      </c>
    </row>
    <row r="5147">
      <c r="A5147">
        <f>HYPERLINK("https://www.youtube.com/watch?v=zt2AHboMNjw", "Video")</f>
        <v/>
      </c>
      <c r="B5147" t="inlineStr">
        <is>
          <t>12:31</t>
        </is>
      </c>
      <c r="C5147" t="inlineStr">
        <is>
          <t>used to drive MTV when vh1 lost the word</t>
        </is>
      </c>
      <c r="D5147">
        <f>HYPERLINK("https://www.youtube.com/watch?v=zt2AHboMNjw&amp;t=751s", "Go to time")</f>
        <v/>
      </c>
    </row>
    <row r="5148">
      <c r="A5148">
        <f>HYPERLINK("https://www.youtube.com/watch?v=zt2AHboMNjw", "Video")</f>
        <v/>
      </c>
      <c r="B5148" t="inlineStr">
        <is>
          <t>16:21</t>
        </is>
      </c>
      <c r="C5148" t="inlineStr">
        <is>
          <t>had a sort of cult guitar-driven</t>
        </is>
      </c>
      <c r="D5148">
        <f>HYPERLINK("https://www.youtube.com/watch?v=zt2AHboMNjw&amp;t=981s", "Go to time")</f>
        <v/>
      </c>
    </row>
    <row r="5149">
      <c r="A5149">
        <f>HYPERLINK("https://www.youtube.com/watch?v=W-HcH_qcmZM", "Video")</f>
        <v/>
      </c>
      <c r="B5149" t="inlineStr">
        <is>
          <t>0:04</t>
        </is>
      </c>
      <c r="C5149" t="inlineStr">
        <is>
          <t>computer hard drive missing from the</t>
        </is>
      </c>
      <c r="D5149">
        <f>HYPERLINK("https://www.youtube.com/watch?v=W-HcH_qcmZM&amp;t=4s", "Go to time")</f>
        <v/>
      </c>
    </row>
    <row r="5150">
      <c r="A5150">
        <f>HYPERLINK("https://www.youtube.com/watch?v=V1nQFotzQMQ", "Video")</f>
        <v/>
      </c>
      <c r="B5150" t="inlineStr">
        <is>
          <t>10:42</t>
        </is>
      </c>
      <c r="C5150" t="inlineStr">
        <is>
          <t>so these necessarily um drive the use of</t>
        </is>
      </c>
      <c r="D5150">
        <f>HYPERLINK("https://www.youtube.com/watch?v=V1nQFotzQMQ&amp;t=642s", "Go to time")</f>
        <v/>
      </c>
    </row>
    <row r="5151">
      <c r="A5151">
        <f>HYPERLINK("https://www.youtube.com/watch?v=nGZdVTFrIaw", "Video")</f>
        <v/>
      </c>
      <c r="B5151" t="inlineStr">
        <is>
          <t>0:00</t>
        </is>
      </c>
      <c r="C5151" t="inlineStr">
        <is>
          <t>When using Uber, a driver's rating was</t>
        </is>
      </c>
      <c r="D5151">
        <f>HYPERLINK("https://www.youtube.com/watch?v=nGZdVTFrIaw&amp;t=0s", "Go to time")</f>
        <v/>
      </c>
    </row>
    <row r="5152">
      <c r="A5152">
        <f>HYPERLINK("https://www.youtube.com/watch?v=nGZdVTFrIaw", "Video")</f>
        <v/>
      </c>
      <c r="B5152" t="inlineStr">
        <is>
          <t>0:06</t>
        </is>
      </c>
      <c r="C5152" t="inlineStr">
        <is>
          <t>drivers they entrusted with their lives.</t>
        </is>
      </c>
      <c r="D5152">
        <f>HYPERLINK("https://www.youtube.com/watch?v=nGZdVTFrIaw&amp;t=6s", "Go to time")</f>
        <v/>
      </c>
    </row>
    <row r="5153">
      <c r="A5153">
        <f>HYPERLINK("https://www.youtube.com/watch?v=nGZdVTFrIaw", "Video")</f>
        <v/>
      </c>
      <c r="B5153" t="inlineStr">
        <is>
          <t>0:13</t>
        </is>
      </c>
      <c r="C5153" t="inlineStr">
        <is>
          <t>tracks when drivers of the ride sharing</t>
        </is>
      </c>
      <c r="D5153">
        <f>HYPERLINK("https://www.youtube.com/watch?v=nGZdVTFrIaw&amp;t=13s", "Go to time")</f>
        <v/>
      </c>
    </row>
    <row r="5154">
      <c r="A5154">
        <f>HYPERLINK("https://www.youtube.com/watch?v=nGZdVTFrIaw", "Video")</f>
        <v/>
      </c>
      <c r="B5154" t="inlineStr">
        <is>
          <t>0:24</t>
        </is>
      </c>
      <c r="C5154" t="inlineStr">
        <is>
          <t>drivers in at least nine US cities,</t>
        </is>
      </c>
      <c r="D5154">
        <f>HYPERLINK("https://www.youtube.com/watch?v=nGZdVTFrIaw&amp;t=24s", "Go to time")</f>
        <v/>
      </c>
    </row>
    <row r="5155">
      <c r="A5155">
        <f>HYPERLINK("https://www.youtube.com/watch?v=nGZdVTFrIaw", "Video")</f>
        <v/>
      </c>
      <c r="B5155" t="inlineStr">
        <is>
          <t>0:39</t>
        </is>
      </c>
      <c r="C5155" t="inlineStr">
        <is>
          <t>each incident. When drivers go over the</t>
        </is>
      </c>
      <c r="D5155">
        <f>HYPERLINK("https://www.youtube.com/watch?v=nGZdVTFrIaw&amp;t=39s", "Go to time")</f>
        <v/>
      </c>
    </row>
    <row r="5156">
      <c r="A5156">
        <f>HYPERLINK("https://www.youtube.com/watch?v=nGZdVTFrIaw", "Video")</f>
        <v/>
      </c>
      <c r="B5156" t="inlineStr">
        <is>
          <t>0:51</t>
        </is>
      </c>
      <c r="C5156" t="inlineStr">
        <is>
          <t>of Uber's app for drivers that's rolling</t>
        </is>
      </c>
      <c r="D5156">
        <f>HYPERLINK("https://www.youtube.com/watch?v=nGZdVTFrIaw&amp;t=51s", "Go to time")</f>
        <v/>
      </c>
    </row>
    <row r="5157">
      <c r="A5157">
        <f>HYPERLINK("https://www.youtube.com/watch?v=nGZdVTFrIaw", "Video")</f>
        <v/>
      </c>
      <c r="B5157" t="inlineStr">
        <is>
          <t>0:57</t>
        </is>
      </c>
      <c r="C5157" t="inlineStr">
        <is>
          <t>company's more than 1 million drivers by</t>
        </is>
      </c>
      <c r="D5157">
        <f>HYPERLINK("https://www.youtube.com/watch?v=nGZdVTFrIaw&amp;t=57s", "Go to time")</f>
        <v/>
      </c>
    </row>
    <row r="5158">
      <c r="A5158">
        <f>HYPERLINK("https://www.youtube.com/watch?v=nGZdVTFrIaw", "Video")</f>
        <v/>
      </c>
      <c r="B5158" t="inlineStr">
        <is>
          <t>1:07</t>
        </is>
      </c>
      <c r="C5158" t="inlineStr">
        <is>
          <t>about driver privacy and questions about</t>
        </is>
      </c>
      <c r="D5158">
        <f>HYPERLINK("https://www.youtube.com/watch?v=nGZdVTFrIaw&amp;t=67s", "Go to time")</f>
        <v/>
      </c>
    </row>
    <row r="5159">
      <c r="A5159">
        <f>HYPERLINK("https://www.youtube.com/watch?v=nGZdVTFrIaw", "Video")</f>
        <v/>
      </c>
      <c r="B5159" t="inlineStr">
        <is>
          <t>1:22</t>
        </is>
      </c>
      <c r="C5159" t="inlineStr">
        <is>
          <t>inside drivers phones to detect when</t>
        </is>
      </c>
      <c r="D5159">
        <f>HYPERLINK("https://www.youtube.com/watch?v=nGZdVTFrIaw&amp;t=82s", "Go to time")</f>
        <v/>
      </c>
    </row>
    <row r="5160">
      <c r="A5160">
        <f>HYPERLINK("https://www.youtube.com/watch?v=nGZdVTFrIaw", "Video")</f>
        <v/>
      </c>
      <c r="B5160" t="inlineStr">
        <is>
          <t>1:32</t>
        </is>
      </c>
      <c r="C5160" t="inlineStr">
        <is>
          <t>this data is to help drivers become</t>
        </is>
      </c>
      <c r="D5160">
        <f>HYPERLINK("https://www.youtube.com/watch?v=nGZdVTFrIaw&amp;t=92s", "Go to time")</f>
        <v/>
      </c>
    </row>
    <row r="5161">
      <c r="A5161">
        <f>HYPERLINK("https://www.youtube.com/watch?v=nGZdVTFrIaw", "Video")</f>
        <v/>
      </c>
      <c r="B5161" t="inlineStr">
        <is>
          <t>1:41</t>
        </is>
      </c>
      <c r="C5161" t="inlineStr">
        <is>
          <t>each driver. Uber says that during its</t>
        </is>
      </c>
      <c r="D5161">
        <f>HYPERLINK("https://www.youtube.com/watch?v=nGZdVTFrIaw&amp;t=101s", "Go to time")</f>
        <v/>
      </c>
    </row>
    <row r="5162">
      <c r="A5162">
        <f>HYPERLINK("https://www.youtube.com/watch?v=nGZdVTFrIaw", "Video")</f>
        <v/>
      </c>
      <c r="B5162" t="inlineStr">
        <is>
          <t>1:43</t>
        </is>
      </c>
      <c r="C5162" t="inlineStr">
        <is>
          <t>test drivers won't face any negative</t>
        </is>
      </c>
      <c r="D5162">
        <f>HYPERLINK("https://www.youtube.com/watch?v=nGZdVTFrIaw&amp;t=103s", "Go to time")</f>
        <v/>
      </c>
    </row>
    <row r="5163">
      <c r="A5163">
        <f>HYPERLINK("https://www.youtube.com/watch?v=dcN-I3_jwIA", "Video")</f>
        <v/>
      </c>
      <c r="B5163" t="inlineStr">
        <is>
          <t>3:12</t>
        </is>
      </c>
      <c r="C5163" t="inlineStr">
        <is>
          <t>uh I think had to eat and so the driver</t>
        </is>
      </c>
      <c r="D5163">
        <f>HYPERLINK("https://www.youtube.com/watch?v=dcN-I3_jwIA&amp;t=192s", "Go to time")</f>
        <v/>
      </c>
    </row>
    <row r="5164">
      <c r="A5164">
        <f>HYPERLINK("https://www.youtube.com/watch?v=x-EVeDdH00A", "Video")</f>
        <v/>
      </c>
      <c r="B5164" t="inlineStr">
        <is>
          <t>0:17</t>
        </is>
      </c>
      <c r="C5164" t="inlineStr">
        <is>
          <t>These letters drive policy
decisions at Congress</t>
        </is>
      </c>
      <c r="D5164">
        <f>HYPERLINK("https://www.youtube.com/watch?v=x-EVeDdH00A&amp;t=17s", "Go to time")</f>
        <v/>
      </c>
    </row>
    <row r="5165">
      <c r="A5165">
        <f>HYPERLINK("https://www.youtube.com/watch?v=QlbuY24alSk", "Video")</f>
        <v/>
      </c>
      <c r="B5165" t="inlineStr">
        <is>
          <t>2:11</t>
        </is>
      </c>
      <c r="C5165" t="inlineStr">
        <is>
          <t>along with AI-driven tech,</t>
        </is>
      </c>
      <c r="D5165">
        <f>HYPERLINK("https://www.youtube.com/watch?v=QlbuY24alSk&amp;t=131s", "Go to time")</f>
        <v/>
      </c>
    </row>
    <row r="5166">
      <c r="A5166">
        <f>HYPERLINK("https://www.youtube.com/watch?v=QlbuY24alSk", "Video")</f>
        <v/>
      </c>
      <c r="B5166" t="inlineStr">
        <is>
          <t>3:31</t>
        </is>
      </c>
      <c r="C5166" t="inlineStr">
        <is>
          <t>for a driver to pick it up,</t>
        </is>
      </c>
      <c r="D5166">
        <f>HYPERLINK("https://www.youtube.com/watch?v=QlbuY24alSk&amp;t=211s", "Go to time")</f>
        <v/>
      </c>
    </row>
    <row r="5167">
      <c r="A5167">
        <f>HYPERLINK("https://www.youtube.com/watch?v=QlbuY24alSk", "Video")</f>
        <v/>
      </c>
      <c r="B5167" t="inlineStr">
        <is>
          <t>3:46</t>
        </is>
      </c>
      <c r="C5167" t="inlineStr">
        <is>
          <t>Amazon's flex drivers are
notified to load them up.</t>
        </is>
      </c>
      <c r="D5167">
        <f>HYPERLINK("https://www.youtube.com/watch?v=QlbuY24alSk&amp;t=226s", "Go to time")</f>
        <v/>
      </c>
    </row>
    <row r="5168">
      <c r="A5168">
        <f>HYPERLINK("https://www.youtube.com/watch?v=QlbuY24alSk", "Video")</f>
        <v/>
      </c>
      <c r="B5168" t="inlineStr">
        <is>
          <t>3:51</t>
        </is>
      </c>
      <c r="C5168" t="inlineStr">
        <is>
          <t>allowing the company to
utilize more drivers.</t>
        </is>
      </c>
      <c r="D5168">
        <f>HYPERLINK("https://www.youtube.com/watch?v=QlbuY24alSk&amp;t=231s", "Go to time")</f>
        <v/>
      </c>
    </row>
    <row r="5169">
      <c r="A5169">
        <f>HYPERLINK("https://www.youtube.com/watch?v=GdhOu83Y9eY", "Video")</f>
        <v/>
      </c>
      <c r="B5169" t="inlineStr">
        <is>
          <t>2:19</t>
        </is>
      </c>
      <c r="C5169" t="inlineStr">
        <is>
          <t>again are driven by uh male protagonists</t>
        </is>
      </c>
      <c r="D5169">
        <f>HYPERLINK("https://www.youtube.com/watch?v=GdhOu83Y9eY&amp;t=139s", "Go to time")</f>
        <v/>
      </c>
    </row>
    <row r="5170">
      <c r="A5170">
        <f>HYPERLINK("https://www.youtube.com/watch?v=GdhOu83Y9eY", "Video")</f>
        <v/>
      </c>
      <c r="B5170" t="inlineStr">
        <is>
          <t>2:25</t>
        </is>
      </c>
      <c r="C5170" t="inlineStr">
        <is>
          <t>Picture that are really driven by by</t>
        </is>
      </c>
      <c r="D5170">
        <f>HYPERLINK("https://www.youtube.com/watch?v=GdhOu83Y9eY&amp;t=145s", "Go to time")</f>
        <v/>
      </c>
    </row>
    <row r="5171">
      <c r="A5171">
        <f>HYPERLINK("https://www.youtube.com/watch?v=yPwXkjPNhH4", "Video")</f>
        <v/>
      </c>
      <c r="B5171" t="inlineStr">
        <is>
          <t>3:22</t>
        </is>
      </c>
      <c r="C5171" t="inlineStr">
        <is>
          <t>- [Narrator] The income-driven
repayment programs</t>
        </is>
      </c>
      <c r="D5171">
        <f>HYPERLINK("https://www.youtube.com/watch?v=yPwXkjPNhH4&amp;t=202s", "Go to time")</f>
        <v/>
      </c>
    </row>
    <row r="5172">
      <c r="A5172">
        <f>HYPERLINK("https://www.youtube.com/watch?v=yPwXkjPNhH4", "Video")</f>
        <v/>
      </c>
      <c r="B5172" t="inlineStr">
        <is>
          <t>3:51</t>
        </is>
      </c>
      <c r="C5172" t="inlineStr">
        <is>
          <t>the income-driven repayment
program as it was designed.</t>
        </is>
      </c>
      <c r="D5172">
        <f>HYPERLINK("https://www.youtube.com/watch?v=yPwXkjPNhH4&amp;t=231s", "Go to time")</f>
        <v/>
      </c>
    </row>
    <row r="5173">
      <c r="A5173">
        <f>HYPERLINK("https://www.youtube.com/watch?v=yPwXkjPNhH4", "Video")</f>
        <v/>
      </c>
      <c r="B5173" t="inlineStr">
        <is>
          <t>4:34</t>
        </is>
      </c>
      <c r="C5173" t="inlineStr">
        <is>
          <t>while on the income-driven
repayment plan would be forgiven,</t>
        </is>
      </c>
      <c r="D5173">
        <f>HYPERLINK("https://www.youtube.com/watch?v=yPwXkjPNhH4&amp;t=274s", "Go to time")</f>
        <v/>
      </c>
    </row>
    <row r="5174">
      <c r="A5174">
        <f>HYPERLINK("https://www.youtube.com/watch?v=yPwXkjPNhH4", "Video")</f>
        <v/>
      </c>
      <c r="B5174" t="inlineStr">
        <is>
          <t>6:22</t>
        </is>
      </c>
      <c r="C5174" t="inlineStr">
        <is>
          <t>the changes to income-driven repayment</t>
        </is>
      </c>
      <c r="D5174">
        <f>HYPERLINK("https://www.youtube.com/watch?v=yPwXkjPNhH4&amp;t=382s", "Go to time")</f>
        <v/>
      </c>
    </row>
    <row r="5175">
      <c r="A5175">
        <f>HYPERLINK("https://www.youtube.com/watch?v=3P7RQRbabSM", "Video")</f>
        <v/>
      </c>
      <c r="B5175" t="inlineStr">
        <is>
          <t>1:22</t>
        </is>
      </c>
      <c r="C5175" t="inlineStr">
        <is>
          <t>suddenly couldn't afford to drive them</t>
        </is>
      </c>
      <c r="D5175">
        <f>HYPERLINK("https://www.youtube.com/watch?v=3P7RQRbabSM&amp;t=82s", "Go to time")</f>
        <v/>
      </c>
    </row>
    <row r="5176">
      <c r="A5176">
        <f>HYPERLINK("https://www.youtube.com/watch?v=Ot_xVSkLUIw", "Video")</f>
        <v/>
      </c>
      <c r="B5176" t="inlineStr">
        <is>
          <t>0:06</t>
        </is>
      </c>
      <c r="C5176" t="inlineStr">
        <is>
          <t>the Nordic variety as he drives the 2015</t>
        </is>
      </c>
      <c r="D5176">
        <f>HYPERLINK("https://www.youtube.com/watch?v=Ot_xVSkLUIw&amp;t=6s", "Go to time")</f>
        <v/>
      </c>
    </row>
    <row r="5177">
      <c r="A5177">
        <f>HYPERLINK("https://www.youtube.com/watch?v=nfczi2cI6Cs", "Video")</f>
        <v/>
      </c>
      <c r="B5177" t="inlineStr">
        <is>
          <t>1:23</t>
        </is>
      </c>
      <c r="C5177" t="inlineStr">
        <is>
          <t>And drives you deep into
rabbit holes of content</t>
        </is>
      </c>
      <c r="D5177">
        <f>HYPERLINK("https://www.youtube.com/watch?v=nfczi2cI6Cs&amp;t=83s", "Go to time")</f>
        <v/>
      </c>
    </row>
    <row r="5178">
      <c r="A5178">
        <f>HYPERLINK("https://www.youtube.com/watch?v=3W9E0oouWdk", "Video")</f>
        <v/>
      </c>
      <c r="B5178" t="inlineStr">
        <is>
          <t>0:59</t>
        </is>
      </c>
      <c r="C5178" t="inlineStr">
        <is>
          <t>driven by soaring coal prices,</t>
        </is>
      </c>
      <c r="D5178">
        <f>HYPERLINK("https://www.youtube.com/watch?v=3W9E0oouWdk&amp;t=59s", "Go to time")</f>
        <v/>
      </c>
    </row>
    <row r="5179">
      <c r="A5179">
        <f>HYPERLINK("https://www.youtube.com/watch?v=nB-Qse7Tnvo", "Video")</f>
        <v/>
      </c>
      <c r="B5179" t="inlineStr">
        <is>
          <t>1:30</t>
        </is>
      </c>
      <c r="C5179" t="inlineStr">
        <is>
          <t>have been more driverless cars</t>
        </is>
      </c>
      <c r="D5179">
        <f>HYPERLINK("https://www.youtube.com/watch?v=nB-Qse7Tnvo&amp;t=90s", "Go to time")</f>
        <v/>
      </c>
    </row>
    <row r="5180">
      <c r="A5180">
        <f>HYPERLINK("https://www.youtube.com/watch?v=nB-Qse7Tnvo", "Video")</f>
        <v/>
      </c>
      <c r="B5180" t="inlineStr">
        <is>
          <t>1:54</t>
        </is>
      </c>
      <c r="C5180" t="inlineStr">
        <is>
          <t>having this computer drive the car for</t>
        </is>
      </c>
      <c r="D5180">
        <f>HYPERLINK("https://www.youtube.com/watch?v=nB-Qse7Tnvo&amp;t=114s", "Go to time")</f>
        <v/>
      </c>
    </row>
    <row r="5181">
      <c r="A5181">
        <f>HYPERLINK("https://www.youtube.com/watch?v=mHhtuEW0oyY", "Video")</f>
        <v/>
      </c>
      <c r="B5181" t="inlineStr">
        <is>
          <t>3:27</t>
        </is>
      </c>
      <c r="C5181" t="inlineStr">
        <is>
          <t>Drive business and and get get the money</t>
        </is>
      </c>
      <c r="D5181">
        <f>HYPERLINK("https://www.youtube.com/watch?v=mHhtuEW0oyY&amp;t=207s", "Go to time")</f>
        <v/>
      </c>
    </row>
    <row r="5182">
      <c r="A5182">
        <f>HYPERLINK("https://www.youtube.com/watch?v=MBcYtx_4gkM", "Video")</f>
        <v/>
      </c>
      <c r="B5182" t="inlineStr">
        <is>
          <t>4:08</t>
        </is>
      </c>
      <c r="C5182" t="inlineStr">
        <is>
          <t>died it drives home how urgent it is and</t>
        </is>
      </c>
      <c r="D5182">
        <f>HYPERLINK("https://www.youtube.com/watch?v=MBcYtx_4gkM&amp;t=248s", "Go to time")</f>
        <v/>
      </c>
    </row>
    <row r="5183">
      <c r="A5183">
        <f>HYPERLINK("https://www.youtube.com/watch?v=zoTD6ypmiHk", "Video")</f>
        <v/>
      </c>
      <c r="B5183" t="inlineStr">
        <is>
          <t>4:58</t>
        </is>
      </c>
      <c r="C5183" t="inlineStr">
        <is>
          <t>become your daily driver and having</t>
        </is>
      </c>
      <c r="D5183">
        <f>HYPERLINK("https://www.youtube.com/watch?v=zoTD6ypmiHk&amp;t=298s", "Go to time")</f>
        <v/>
      </c>
    </row>
    <row r="5184">
      <c r="A5184">
        <f>HYPERLINK("https://www.youtube.com/watch?v=aSlCXe5atfg", "Video")</f>
        <v/>
      </c>
      <c r="B5184" t="inlineStr">
        <is>
          <t>1:28</t>
        </is>
      </c>
      <c r="C5184" t="inlineStr">
        <is>
          <t>forward and so those two drivers growth</t>
        </is>
      </c>
      <c r="D5184">
        <f>HYPERLINK("https://www.youtube.com/watch?v=aSlCXe5atfg&amp;t=88s", "Go to time")</f>
        <v/>
      </c>
    </row>
    <row r="5185">
      <c r="A5185">
        <f>HYPERLINK("https://www.youtube.com/watch?v=2IgBsQGeyTw", "Video")</f>
        <v/>
      </c>
      <c r="B5185" t="inlineStr">
        <is>
          <t>6:03</t>
        </is>
      </c>
      <c r="C5185" t="inlineStr">
        <is>
          <t>that can eventually
drive up the labor costs.</t>
        </is>
      </c>
      <c r="D5185">
        <f>HYPERLINK("https://www.youtube.com/watch?v=2IgBsQGeyTw&amp;t=363s", "Go to time")</f>
        <v/>
      </c>
    </row>
    <row r="5186">
      <c r="A5186">
        <f>HYPERLINK("https://www.youtube.com/watch?v=87FupOMvIgA", "Video")</f>
        <v/>
      </c>
      <c r="B5186" t="inlineStr">
        <is>
          <t>2:01</t>
        </is>
      </c>
      <c r="C5186" t="inlineStr">
        <is>
          <t>that has come um that has driven some</t>
        </is>
      </c>
      <c r="D5186">
        <f>HYPERLINK("https://www.youtube.com/watch?v=87FupOMvIgA&amp;t=121s", "Go to time")</f>
        <v/>
      </c>
    </row>
    <row r="5187">
      <c r="A5187">
        <f>HYPERLINK("https://www.youtube.com/watch?v=zTnNts2tNT0", "Video")</f>
        <v/>
      </c>
      <c r="B5187" t="inlineStr">
        <is>
          <t>12:32</t>
        </is>
      </c>
      <c r="C5187" t="inlineStr">
        <is>
          <t>We drive to the Midwest all the time.</t>
        </is>
      </c>
      <c r="D5187">
        <f>HYPERLINK("https://www.youtube.com/watch?v=zTnNts2tNT0&amp;t=752s", "Go to time")</f>
        <v/>
      </c>
    </row>
    <row r="5188">
      <c r="A5188">
        <f>HYPERLINK("https://www.youtube.com/watch?v=zTnNts2tNT0", "Video")</f>
        <v/>
      </c>
      <c r="B5188" t="inlineStr">
        <is>
          <t>15:21</t>
        </is>
      </c>
      <c r="C5188" t="inlineStr">
        <is>
          <t>Just have him make sure his
driver's license is accessible,</t>
        </is>
      </c>
      <c r="D5188">
        <f>HYPERLINK("https://www.youtube.com/watch?v=zTnNts2tNT0&amp;t=921s", "Go to time")</f>
        <v/>
      </c>
    </row>
    <row r="5189">
      <c r="A5189">
        <f>HYPERLINK("https://www.youtube.com/watch?v=zTnNts2tNT0", "Video")</f>
        <v/>
      </c>
      <c r="B5189" t="inlineStr">
        <is>
          <t>25:04</t>
        </is>
      </c>
      <c r="C5189" t="inlineStr">
        <is>
          <t>We all are connected to networks
that we are going to drive</t>
        </is>
      </c>
      <c r="D5189">
        <f>HYPERLINK("https://www.youtube.com/watch?v=zTnNts2tNT0&amp;t=1504s", "Go to time")</f>
        <v/>
      </c>
    </row>
    <row r="5190">
      <c r="A5190">
        <f>HYPERLINK("https://www.youtube.com/watch?v=Vgy1fkdR-EY", "Video")</f>
        <v/>
      </c>
      <c r="B5190" t="inlineStr">
        <is>
          <t>2:25</t>
        </is>
      </c>
      <c r="C5190" t="inlineStr">
        <is>
          <t>don't drive the movie do you know what I</t>
        </is>
      </c>
      <c r="D5190">
        <f>HYPERLINK("https://www.youtube.com/watch?v=Vgy1fkdR-EY&amp;t=145s", "Go to time")</f>
        <v/>
      </c>
    </row>
    <row r="5191">
      <c r="A5191">
        <f>HYPERLINK("https://www.youtube.com/watch?v=Vgy1fkdR-EY", "Video")</f>
        <v/>
      </c>
      <c r="B5191" t="inlineStr">
        <is>
          <t>5:17</t>
        </is>
      </c>
      <c r="C5191" t="inlineStr">
        <is>
          <t>female driven film like this get made</t>
        </is>
      </c>
      <c r="D5191">
        <f>HYPERLINK("https://www.youtube.com/watch?v=Vgy1fkdR-EY&amp;t=317s", "Go to time")</f>
        <v/>
      </c>
    </row>
    <row r="5192">
      <c r="A5192">
        <f>HYPERLINK("https://www.youtube.com/watch?v=hgurrvho_Ug", "Video")</f>
        <v/>
      </c>
      <c r="B5192" t="inlineStr">
        <is>
          <t>0:28</t>
        </is>
      </c>
      <c r="C5192" t="inlineStr">
        <is>
          <t>by charging drivers to enter
busier parts of the city.</t>
        </is>
      </c>
      <c r="D5192">
        <f>HYPERLINK("https://www.youtube.com/watch?v=hgurrvho_Ug&amp;t=28s", "Go to time")</f>
        <v/>
      </c>
    </row>
    <row r="5193">
      <c r="A5193">
        <f>HYPERLINK("https://www.youtube.com/watch?v=hgurrvho_Ug", "Video")</f>
        <v/>
      </c>
      <c r="B5193" t="inlineStr">
        <is>
          <t>1:16</t>
        </is>
      </c>
      <c r="C5193" t="inlineStr">
        <is>
          <t>and charge me 15 pounds to drive</t>
        </is>
      </c>
      <c r="D5193">
        <f>HYPERLINK("https://www.youtube.com/watch?v=hgurrvho_Ug&amp;t=76s", "Go to time")</f>
        <v/>
      </c>
    </row>
    <row r="5194">
      <c r="A5194">
        <f>HYPERLINK("https://www.youtube.com/watch?v=hgurrvho_Ug", "Video")</f>
        <v/>
      </c>
      <c r="B5194" t="inlineStr">
        <is>
          <t>2:06</t>
        </is>
      </c>
      <c r="C5194" t="inlineStr">
        <is>
          <t>for low income frequent
drivers and residents.</t>
        </is>
      </c>
      <c r="D5194">
        <f>HYPERLINK("https://www.youtube.com/watch?v=hgurrvho_Ug&amp;t=126s", "Go to time")</f>
        <v/>
      </c>
    </row>
    <row r="5195">
      <c r="A5195">
        <f>HYPERLINK("https://www.youtube.com/watch?v=hgurrvho_Ug", "Video")</f>
        <v/>
      </c>
      <c r="B5195" t="inlineStr">
        <is>
          <t>2:57</t>
        </is>
      </c>
      <c r="C5195" t="inlineStr">
        <is>
          <t>from the toll, from
musicians to hearse drivers.</t>
        </is>
      </c>
      <c r="D5195">
        <f>HYPERLINK("https://www.youtube.com/watch?v=hgurrvho_Ug&amp;t=177s", "Go to time")</f>
        <v/>
      </c>
    </row>
    <row r="5196">
      <c r="A5196">
        <f>HYPERLINK("https://www.youtube.com/watch?v=hgurrvho_Ug", "Video")</f>
        <v/>
      </c>
      <c r="B5196" t="inlineStr">
        <is>
          <t>4:44</t>
        </is>
      </c>
      <c r="C5196" t="inlineStr">
        <is>
          <t>Well, even though some
drivers can choose to switch</t>
        </is>
      </c>
      <c r="D5196">
        <f>HYPERLINK("https://www.youtube.com/watch?v=hgurrvho_Ug&amp;t=284s", "Go to time")</f>
        <v/>
      </c>
    </row>
    <row r="5197">
      <c r="A5197">
        <f>HYPERLINK("https://www.youtube.com/watch?v=hgurrvho_Ug", "Video")</f>
        <v/>
      </c>
      <c r="B5197" t="inlineStr">
        <is>
          <t>4:49</t>
        </is>
      </c>
      <c r="C5197" t="inlineStr">
        <is>
          <t>others, like for hire vehicles
and delivery drivers, can't.</t>
        </is>
      </c>
      <c r="D5197">
        <f>HYPERLINK("https://www.youtube.com/watch?v=hgurrvho_Ug&amp;t=289s", "Go to time")</f>
        <v/>
      </c>
    </row>
    <row r="5198">
      <c r="A5198">
        <f>HYPERLINK("https://www.youtube.com/watch?v=hgurrvho_Ug", "Video")</f>
        <v/>
      </c>
      <c r="B5198" t="inlineStr">
        <is>
          <t>4:52</t>
        </is>
      </c>
      <c r="C5198" t="inlineStr">
        <is>
          <t>And the number of those drivers</t>
        </is>
      </c>
      <c r="D5198">
        <f>HYPERLINK("https://www.youtube.com/watch?v=hgurrvho_Ug&amp;t=292s", "Go to time")</f>
        <v/>
      </c>
    </row>
    <row r="5199">
      <c r="A5199">
        <f>HYPERLINK("https://www.youtube.com/watch?v=wstkzpkxgfM", "Video")</f>
        <v/>
      </c>
      <c r="B5199" t="inlineStr">
        <is>
          <t>0:24</t>
        </is>
      </c>
      <c r="C5199" t="inlineStr">
        <is>
          <t>one driven by a financial crisis rather</t>
        </is>
      </c>
      <c r="D5199">
        <f>HYPERLINK("https://www.youtube.com/watch?v=wstkzpkxgfM&amp;t=24s", "Go to time")</f>
        <v/>
      </c>
    </row>
    <row r="5200">
      <c r="A5200">
        <f>HYPERLINK("https://www.youtube.com/watch?v=ze5akHSyycw", "Video")</f>
        <v/>
      </c>
      <c r="B5200" t="inlineStr">
        <is>
          <t>0:46</t>
        </is>
      </c>
      <c r="C5200" t="inlineStr">
        <is>
          <t>driverless cars but search is still at</t>
        </is>
      </c>
      <c r="D5200">
        <f>HYPERLINK("https://www.youtube.com/watch?v=ze5akHSyycw&amp;t=46s", "Go to time")</f>
        <v/>
      </c>
    </row>
    <row r="5201">
      <c r="A5201">
        <f>HYPERLINK("https://www.youtube.com/watch?v=ig39k2sdUZw", "Video")</f>
        <v/>
      </c>
      <c r="B5201" t="inlineStr">
        <is>
          <t>0:24</t>
        </is>
      </c>
      <c r="C5201" t="inlineStr">
        <is>
          <t>left on my drive a free app called dis</t>
        </is>
      </c>
      <c r="D5201">
        <f>HYPERLINK("https://www.youtube.com/watch?v=ig39k2sdUZw&amp;t=24s", "Go to time")</f>
        <v/>
      </c>
    </row>
    <row r="5202">
      <c r="A5202">
        <f>HYPERLINK("https://www.youtube.com/watch?v=ig39k2sdUZw", "Video")</f>
        <v/>
      </c>
      <c r="B5202" t="inlineStr">
        <is>
          <t>0:32</t>
        </is>
      </c>
      <c r="C5202" t="inlineStr">
        <is>
          <t>from the internal drive but there's lots</t>
        </is>
      </c>
      <c r="D5202">
        <f>HYPERLINK("https://www.youtube.com/watch?v=ig39k2sdUZw&amp;t=32s", "Go to time")</f>
        <v/>
      </c>
    </row>
    <row r="5203">
      <c r="A5203">
        <f>HYPERLINK("https://www.youtube.com/watch?v=mnLtNc-0vSQ", "Video")</f>
        <v/>
      </c>
      <c r="B5203" t="inlineStr">
        <is>
          <t>1:11</t>
        </is>
      </c>
      <c r="C5203" t="inlineStr">
        <is>
          <t>lafara well I had a chance to drive the</t>
        </is>
      </c>
      <c r="D5203">
        <f>HYPERLINK("https://www.youtube.com/watch?v=mnLtNc-0vSQ&amp;t=71s", "Go to time")</f>
        <v/>
      </c>
    </row>
    <row r="5204">
      <c r="A5204">
        <f>HYPERLINK("https://www.youtube.com/watch?v=mnLtNc-0vSQ", "Video")</f>
        <v/>
      </c>
      <c r="B5204" t="inlineStr">
        <is>
          <t>3:28</t>
        </is>
      </c>
      <c r="C5204" t="inlineStr">
        <is>
          <t>went all the way to Italy to drive it</t>
        </is>
      </c>
      <c r="D5204">
        <f>HYPERLINK("https://www.youtube.com/watch?v=mnLtNc-0vSQ&amp;t=208s", "Go to time")</f>
        <v/>
      </c>
    </row>
    <row r="5205">
      <c r="A5205">
        <f>HYPERLINK("https://www.youtube.com/watch?v=LOzSnuOQFjo", "Video")</f>
        <v/>
      </c>
      <c r="B5205" t="inlineStr">
        <is>
          <t>0:14</t>
        </is>
      </c>
      <c r="C5205" t="inlineStr">
        <is>
          <t>designed to drive on roads meaning you</t>
        </is>
      </c>
      <c r="D5205">
        <f>HYPERLINK("https://www.youtube.com/watch?v=LOzSnuOQFjo&amp;t=14s", "Go to time")</f>
        <v/>
      </c>
    </row>
    <row r="5206">
      <c r="A5206">
        <f>HYPERLINK("https://www.youtube.com/watch?v=LOzSnuOQFjo", "Video")</f>
        <v/>
      </c>
      <c r="B5206" t="inlineStr">
        <is>
          <t>0:50</t>
        </is>
      </c>
      <c r="C5206" t="inlineStr">
        <is>
          <t>car air car is designed to drive on</t>
        </is>
      </c>
      <c r="D5206">
        <f>HYPERLINK("https://www.youtube.com/watch?v=LOzSnuOQFjo&amp;t=50s", "Go to time")</f>
        <v/>
      </c>
    </row>
    <row r="5207">
      <c r="A5207">
        <f>HYPERLINK("https://www.youtube.com/watch?v=LOzSnuOQFjo", "Video")</f>
        <v/>
      </c>
      <c r="B5207" t="inlineStr">
        <is>
          <t>1:27</t>
        </is>
      </c>
      <c r="C5207" t="inlineStr">
        <is>
          <t>drive you won't need to build</t>
        </is>
      </c>
      <c r="D5207">
        <f>HYPERLINK("https://www.youtube.com/watch?v=LOzSnuOQFjo&amp;t=87s", "Go to time")</f>
        <v/>
      </c>
    </row>
    <row r="5208">
      <c r="A5208">
        <f>HYPERLINK("https://www.youtube.com/watch?v=LOzSnuOQFjo", "Video")</f>
        <v/>
      </c>
      <c r="B5208" t="inlineStr">
        <is>
          <t>2:07</t>
        </is>
      </c>
      <c r="C5208" t="inlineStr">
        <is>
          <t>currently able to drive on roads but</t>
        </is>
      </c>
      <c r="D5208">
        <f>HYPERLINK("https://www.youtube.com/watch?v=LOzSnuOQFjo&amp;t=127s", "Go to time")</f>
        <v/>
      </c>
    </row>
    <row r="5209">
      <c r="A5209">
        <f>HYPERLINK("https://www.youtube.com/watch?v=LOzSnuOQFjo", "Video")</f>
        <v/>
      </c>
      <c r="B5209" t="inlineStr">
        <is>
          <t>2:52</t>
        </is>
      </c>
      <c r="C5209" t="inlineStr">
        <is>
          <t>can be after you've driven to your</t>
        </is>
      </c>
      <c r="D5209">
        <f>HYPERLINK("https://www.youtube.com/watch?v=LOzSnuOQFjo&amp;t=172s", "Go to time")</f>
        <v/>
      </c>
    </row>
    <row r="5210">
      <c r="A5210">
        <f>HYPERLINK("https://www.youtube.com/watch?v=LOzSnuOQFjo", "Video")</f>
        <v/>
      </c>
      <c r="B5210" t="inlineStr">
        <is>
          <t>3:05</t>
        </is>
      </c>
      <c r="C5210" t="inlineStr">
        <is>
          <t>isn't yet certified to drive on highways</t>
        </is>
      </c>
      <c r="D5210">
        <f>HYPERLINK("https://www.youtube.com/watch?v=LOzSnuOQFjo&amp;t=185s", "Go to time")</f>
        <v/>
      </c>
    </row>
    <row r="5211">
      <c r="A5211">
        <f>HYPERLINK("https://www.youtube.com/watch?v=LOzSnuOQFjo", "Video")</f>
        <v/>
      </c>
      <c r="B5211" t="inlineStr">
        <is>
          <t>3:55</t>
        </is>
      </c>
      <c r="C5211" t="inlineStr">
        <is>
          <t>certification to drive on highways sell</t>
        </is>
      </c>
      <c r="D5211">
        <f>HYPERLINK("https://www.youtube.com/watch?v=LOzSnuOQFjo&amp;t=235s", "Go to time")</f>
        <v/>
      </c>
    </row>
    <row r="5212">
      <c r="A5212">
        <f>HYPERLINK("https://www.youtube.com/watch?v=sc214fPuOd8", "Video")</f>
        <v/>
      </c>
      <c r="B5212" t="inlineStr">
        <is>
          <t>2:36</t>
        </is>
      </c>
      <c r="C5212" t="inlineStr">
        <is>
          <t>some point fundamentally driven or</t>
        </is>
      </c>
      <c r="D5212">
        <f>HYPERLINK("https://www.youtube.com/watch?v=sc214fPuOd8&amp;t=156s", "Go to time")</f>
        <v/>
      </c>
    </row>
    <row r="5213">
      <c r="A5213">
        <f>HYPERLINK("https://www.youtube.com/watch?v=sc214fPuOd8", "Video")</f>
        <v/>
      </c>
      <c r="B5213" t="inlineStr">
        <is>
          <t>2:38</t>
        </is>
      </c>
      <c r="C5213" t="inlineStr">
        <is>
          <t>fundamentally driven right and at some</t>
        </is>
      </c>
      <c r="D5213">
        <f>HYPERLINK("https://www.youtube.com/watch?v=sc214fPuOd8&amp;t=158s", "Go to time")</f>
        <v/>
      </c>
    </row>
    <row r="5214">
      <c r="A5214">
        <f>HYPERLINK("https://www.youtube.com/watch?v=QXs3uuF4Wxs", "Video")</f>
        <v/>
      </c>
      <c r="B5214" t="inlineStr">
        <is>
          <t>1:01</t>
        </is>
      </c>
      <c r="C5214" t="inlineStr">
        <is>
          <t>opened the driver's side door</t>
        </is>
      </c>
      <c r="D5214">
        <f>HYPERLINK("https://www.youtube.com/watch?v=QXs3uuF4Wxs&amp;t=61s", "Go to time")</f>
        <v/>
      </c>
    </row>
    <row r="5215">
      <c r="A5215">
        <f>HYPERLINK("https://www.youtube.com/watch?v=lu9G7ef9uBg", "Video")</f>
        <v/>
      </c>
      <c r="B5215" t="inlineStr">
        <is>
          <t>2:30</t>
        </is>
      </c>
      <c r="C5215" t="inlineStr">
        <is>
          <t>driverless cars as seen with this</t>
        </is>
      </c>
      <c r="D5215">
        <f>HYPERLINK("https://www.youtube.com/watch?v=lu9G7ef9uBg&amp;t=150s", "Go to time")</f>
        <v/>
      </c>
    </row>
    <row r="5216">
      <c r="A5216">
        <f>HYPERLINK("https://www.youtube.com/watch?v=nZvBB1HVe4Q", "Video")</f>
        <v/>
      </c>
      <c r="B5216" t="inlineStr">
        <is>
          <t>2:02</t>
        </is>
      </c>
      <c r="C5216" t="inlineStr">
        <is>
          <t>were driven by rising
interest rate policies.</t>
        </is>
      </c>
      <c r="D5216">
        <f>HYPERLINK("https://www.youtube.com/watch?v=nZvBB1HVe4Q&amp;t=122s", "Go to time")</f>
        <v/>
      </c>
    </row>
    <row r="5217">
      <c r="A5217">
        <f>HYPERLINK("https://www.youtube.com/watch?v=nZvBB1HVe4Q", "Video")</f>
        <v/>
      </c>
      <c r="B5217" t="inlineStr">
        <is>
          <t>4:15</t>
        </is>
      </c>
      <c r="C5217" t="inlineStr">
        <is>
          <t>Its valuation was driven
in part by its CEO</t>
        </is>
      </c>
      <c r="D5217">
        <f>HYPERLINK("https://www.youtube.com/watch?v=nZvBB1HVe4Q&amp;t=255s", "Go to time")</f>
        <v/>
      </c>
    </row>
    <row r="5218">
      <c r="A5218">
        <f>HYPERLINK("https://www.youtube.com/watch?v=QYnq8A5gdAw", "Video")</f>
        <v/>
      </c>
      <c r="B5218" t="inlineStr">
        <is>
          <t>2:40</t>
        </is>
      </c>
      <c r="C5218" t="inlineStr">
        <is>
          <t>And that success has driven
some Taiwanese leaders,</t>
        </is>
      </c>
      <c r="D5218">
        <f>HYPERLINK("https://www.youtube.com/watch?v=QYnq8A5gdAw&amp;t=160s", "Go to time")</f>
        <v/>
      </c>
    </row>
    <row r="5219">
      <c r="A5219">
        <f>HYPERLINK("https://www.youtube.com/watch?v=n_RUveOCPeg", "Video")</f>
        <v/>
      </c>
      <c r="B5219" t="inlineStr">
        <is>
          <t>0:33</t>
        </is>
      </c>
      <c r="C5219" t="inlineStr">
        <is>
          <t>stuff you lose the fundamental um drive</t>
        </is>
      </c>
      <c r="D5219">
        <f>HYPERLINK("https://www.youtube.com/watch?v=n_RUveOCPeg&amp;t=33s", "Go to time")</f>
        <v/>
      </c>
    </row>
    <row r="5220">
      <c r="A5220">
        <f>HYPERLINK("https://www.youtube.com/watch?v=lWew3PfUzHA", "Video")</f>
        <v/>
      </c>
      <c r="B5220" t="inlineStr">
        <is>
          <t>0:46</t>
        </is>
      </c>
      <c r="C5220" t="inlineStr">
        <is>
          <t>require Uber drivers to have a taxi</t>
        </is>
      </c>
      <c r="D5220">
        <f>HYPERLINK("https://www.youtube.com/watch?v=lWew3PfUzHA&amp;t=46s", "Go to time")</f>
        <v/>
      </c>
    </row>
    <row r="5221">
      <c r="A5221">
        <f>HYPERLINK("https://www.youtube.com/watch?v=4dZRRo5TYKY", "Video")</f>
        <v/>
      </c>
      <c r="B5221" t="inlineStr">
        <is>
          <t>0:09</t>
        </is>
      </c>
      <c r="C5221" t="inlineStr">
        <is>
          <t>in the future and he's driven the car</t>
        </is>
      </c>
      <c r="D5221">
        <f>HYPERLINK("https://www.youtube.com/watch?v=4dZRRo5TYKY&amp;t=9s", "Go to time")</f>
        <v/>
      </c>
    </row>
    <row r="5222">
      <c r="A5222">
        <f>HYPERLINK("https://www.youtube.com/watch?v=QYqjTJbFulU", "Video")</f>
        <v/>
      </c>
      <c r="B5222" t="inlineStr">
        <is>
          <t>0:07</t>
        </is>
      </c>
      <c r="C5222" t="inlineStr">
        <is>
          <t>continuing to drive opposition forces</t>
        </is>
      </c>
      <c r="D5222">
        <f>HYPERLINK("https://www.youtube.com/watch?v=QYqjTJbFulU&amp;t=7s", "Go to time")</f>
        <v/>
      </c>
    </row>
    <row r="5223">
      <c r="A5223">
        <f>HYPERLINK("https://www.youtube.com/watch?v=HN6ijFegVjs", "Video")</f>
        <v/>
      </c>
      <c r="B5223" t="inlineStr">
        <is>
          <t>1:37</t>
        </is>
      </c>
      <c r="C5223" t="inlineStr">
        <is>
          <t>I've driven both Sportline vehicles and</t>
        </is>
      </c>
      <c r="D5223">
        <f>HYPERLINK("https://www.youtube.com/watch?v=HN6ijFegVjs&amp;t=97s", "Go to time")</f>
        <v/>
      </c>
    </row>
    <row r="5224">
      <c r="A5224">
        <f>HYPERLINK("https://www.youtube.com/watch?v=e8Mu0fftfbM", "Video")</f>
        <v/>
      </c>
      <c r="B5224" t="inlineStr">
        <is>
          <t>1:42</t>
        </is>
      </c>
      <c r="C5224" t="inlineStr">
        <is>
          <t>hard hats and truck drivers and guys who</t>
        </is>
      </c>
      <c r="D5224">
        <f>HYPERLINK("https://www.youtube.com/watch?v=e8Mu0fftfbM&amp;t=102s", "Go to time")</f>
        <v/>
      </c>
    </row>
    <row r="5225">
      <c r="A5225">
        <f>HYPERLINK("https://www.youtube.com/watch?v=e8Mu0fftfbM", "Video")</f>
        <v/>
      </c>
      <c r="B5225" t="inlineStr">
        <is>
          <t>6:10</t>
        </is>
      </c>
      <c r="C5225" t="inlineStr">
        <is>
          <t>registration Drive underway in Florida</t>
        </is>
      </c>
      <c r="D5225">
        <f>HYPERLINK("https://www.youtube.com/watch?v=e8Mu0fftfbM&amp;t=370s", "Go to time")</f>
        <v/>
      </c>
    </row>
    <row r="5226">
      <c r="A5226">
        <f>HYPERLINK("https://www.youtube.com/watch?v=wS0WBKoHEOc", "Video")</f>
        <v/>
      </c>
      <c r="B5226" t="inlineStr">
        <is>
          <t>0:04</t>
        </is>
      </c>
      <c r="C5226" t="inlineStr">
        <is>
          <t>tesla drivers love their cars for the</t>
        </is>
      </c>
      <c r="D5226">
        <f>HYPERLINK("https://www.youtube.com/watch?v=wS0WBKoHEOc&amp;t=4s", "Go to time")</f>
        <v/>
      </c>
    </row>
    <row r="5227">
      <c r="A5227">
        <f>HYPERLINK("https://www.youtube.com/watch?v=k53IDbtP-58", "Video")</f>
        <v/>
      </c>
      <c r="B5227" t="inlineStr">
        <is>
          <t>0:00</t>
        </is>
      </c>
      <c r="C5227" t="inlineStr">
        <is>
          <t>take a drive around Cleveland Ohio and</t>
        </is>
      </c>
      <c r="D5227">
        <f>HYPERLINK("https://www.youtube.com/watch?v=k53IDbtP-58&amp;t=0s", "Go to time")</f>
        <v/>
      </c>
    </row>
    <row r="5228">
      <c r="A5228">
        <f>HYPERLINK("https://www.youtube.com/watch?v=k53IDbtP-58", "Video")</f>
        <v/>
      </c>
      <c r="B5228" t="inlineStr">
        <is>
          <t>2:58</t>
        </is>
      </c>
      <c r="C5228" t="inlineStr">
        <is>
          <t>Euclid are just a short drive away from</t>
        </is>
      </c>
      <c r="D5228">
        <f>HYPERLINK("https://www.youtube.com/watch?v=k53IDbtP-58&amp;t=178s", "Go to time")</f>
        <v/>
      </c>
    </row>
    <row r="5229">
      <c r="A5229">
        <f>HYPERLINK("https://www.youtube.com/watch?v=fq6jDxJk1LM", "Video")</f>
        <v/>
      </c>
      <c r="B5229" t="inlineStr">
        <is>
          <t>2:45</t>
        </is>
      </c>
      <c r="C5229" t="inlineStr">
        <is>
          <t>service in the Drive-Thru can be slower</t>
        </is>
      </c>
      <c r="D5229">
        <f>HYPERLINK("https://www.youtube.com/watch?v=fq6jDxJk1LM&amp;t=165s", "Go to time")</f>
        <v/>
      </c>
    </row>
    <row r="5230">
      <c r="A5230">
        <f>HYPERLINK("https://www.youtube.com/watch?v=fq6jDxJk1LM", "Video")</f>
        <v/>
      </c>
      <c r="B5230" t="inlineStr">
        <is>
          <t>3:07</t>
        </is>
      </c>
      <c r="C5230" t="inlineStr">
        <is>
          <t>meant the drive-through is the major</t>
        </is>
      </c>
      <c r="D5230">
        <f>HYPERLINK("https://www.youtube.com/watch?v=fq6jDxJk1LM&amp;t=187s", "Go to time")</f>
        <v/>
      </c>
    </row>
    <row r="5231">
      <c r="A5231">
        <f>HYPERLINK("https://www.youtube.com/watch?v=fq6jDxJk1LM", "Video")</f>
        <v/>
      </c>
      <c r="B5231" t="inlineStr">
        <is>
          <t>3:13</t>
        </is>
      </c>
      <c r="C5231" t="inlineStr">
        <is>
          <t>will see workers out in the Drive-Thru</t>
        </is>
      </c>
      <c r="D5231">
        <f>HYPERLINK("https://www.youtube.com/watch?v=fq6jDxJk1LM&amp;t=193s", "Go to time")</f>
        <v/>
      </c>
    </row>
    <row r="5232">
      <c r="A5232">
        <f>HYPERLINK("https://www.youtube.com/watch?v=fq6jDxJk1LM", "Video")</f>
        <v/>
      </c>
      <c r="B5232" t="inlineStr">
        <is>
          <t>19:02</t>
        </is>
      </c>
      <c r="C5232" t="inlineStr">
        <is>
          <t>either as drive-thru or mobile order</t>
        </is>
      </c>
      <c r="D5232">
        <f>HYPERLINK("https://www.youtube.com/watch?v=fq6jDxJk1LM&amp;t=1142s", "Go to time")</f>
        <v/>
      </c>
    </row>
    <row r="5233">
      <c r="A5233">
        <f>HYPERLINK("https://www.youtube.com/watch?v=fq6jDxJk1LM", "Video")</f>
        <v/>
      </c>
      <c r="B5233" t="inlineStr">
        <is>
          <t>19:12</t>
        </is>
      </c>
      <c r="C5233" t="inlineStr">
        <is>
          <t>through drive-throughs these alternate</t>
        </is>
      </c>
      <c r="D5233">
        <f>HYPERLINK("https://www.youtube.com/watch?v=fq6jDxJk1LM&amp;t=1152s", "Go to time")</f>
        <v/>
      </c>
    </row>
    <row r="5234">
      <c r="A5234">
        <f>HYPERLINK("https://www.youtube.com/watch?v=fq6jDxJk1LM", "Video")</f>
        <v/>
      </c>
      <c r="B5234" t="inlineStr">
        <is>
          <t>19:41</t>
        </is>
      </c>
      <c r="C5234" t="inlineStr">
        <is>
          <t>and its customers even in its drive-thru</t>
        </is>
      </c>
      <c r="D5234">
        <f>HYPERLINK("https://www.youtube.com/watch?v=fq6jDxJk1LM&amp;t=1181s", "Go to time")</f>
        <v/>
      </c>
    </row>
    <row r="5235">
      <c r="A5235">
        <f>HYPERLINK("https://www.youtube.com/watch?v=fq6jDxJk1LM", "Video")</f>
        <v/>
      </c>
      <c r="B5235" t="inlineStr">
        <is>
          <t>19:55</t>
        </is>
      </c>
      <c r="C5235" t="inlineStr">
        <is>
          <t>ordering through a drive-thru or a</t>
        </is>
      </c>
      <c r="D5235">
        <f>HYPERLINK("https://www.youtube.com/watch?v=fq6jDxJk1LM&amp;t=1195s", "Go to time")</f>
        <v/>
      </c>
    </row>
    <row r="5236">
      <c r="A5236">
        <f>HYPERLINK("https://www.youtube.com/watch?v=fq6jDxJk1LM", "Video")</f>
        <v/>
      </c>
      <c r="B5236" t="inlineStr">
        <is>
          <t>45:26</t>
        </is>
      </c>
      <c r="C5236" t="inlineStr">
        <is>
          <t>a purpose-driven brand that is a</t>
        </is>
      </c>
      <c r="D5236">
        <f>HYPERLINK("https://www.youtube.com/watch?v=fq6jDxJk1LM&amp;t=2726s", "Go to time")</f>
        <v/>
      </c>
    </row>
    <row r="5237">
      <c r="A5237">
        <f>HYPERLINK("https://www.youtube.com/watch?v=fq6jDxJk1LM", "Video")</f>
        <v/>
      </c>
      <c r="B5237" t="inlineStr">
        <is>
          <t>47:49</t>
        </is>
      </c>
      <c r="C5237" t="inlineStr">
        <is>
          <t>$100 billion in annual revenue driven in</t>
        </is>
      </c>
      <c r="D5237">
        <f>HYPERLINK("https://www.youtube.com/watch?v=fq6jDxJk1LM&amp;t=2869s", "Go to time")</f>
        <v/>
      </c>
    </row>
    <row r="5238">
      <c r="A5238">
        <f>HYPERLINK("https://www.youtube.com/watch?v=XI4ar0qYmHw", "Video")</f>
        <v/>
      </c>
      <c r="B5238" t="inlineStr">
        <is>
          <t>3:39</t>
        </is>
      </c>
      <c r="C5238" t="inlineStr">
        <is>
          <t>driverless cars or electric driverless</t>
        </is>
      </c>
      <c r="D5238">
        <f>HYPERLINK("https://www.youtube.com/watch?v=XI4ar0qYmHw&amp;t=219s", "Go to time")</f>
        <v/>
      </c>
    </row>
    <row r="5239">
      <c r="A5239">
        <f>HYPERLINK("https://www.youtube.com/watch?v=p0z_zKWJTao", "Video")</f>
        <v/>
      </c>
      <c r="B5239" t="inlineStr">
        <is>
          <t>1:00</t>
        </is>
      </c>
      <c r="C5239" t="inlineStr">
        <is>
          <t>that's gonna drive down the interest rate,</t>
        </is>
      </c>
      <c r="D5239">
        <f>HYPERLINK("https://www.youtube.com/watch?v=p0z_zKWJTao&amp;t=60s", "Go to time")</f>
        <v/>
      </c>
    </row>
    <row r="5240">
      <c r="A5240">
        <f>HYPERLINK("https://www.youtube.com/watch?v=NNj_JNAy6RI", "Video")</f>
        <v/>
      </c>
      <c r="B5240" t="inlineStr">
        <is>
          <t>2:12</t>
        </is>
      </c>
      <c r="C5240" t="inlineStr">
        <is>
          <t>A lot of truck drivers
are mom and pop businesses</t>
        </is>
      </c>
      <c r="D5240">
        <f>HYPERLINK("https://www.youtube.com/watch?v=NNj_JNAy6RI&amp;t=132s", "Go to time")</f>
        <v/>
      </c>
    </row>
    <row r="5241">
      <c r="A5241">
        <f>HYPERLINK("https://www.youtube.com/watch?v=NNj_JNAy6RI", "Video")</f>
        <v/>
      </c>
      <c r="B5241" t="inlineStr">
        <is>
          <t>2:17</t>
        </is>
      </c>
      <c r="C5241" t="inlineStr">
        <is>
          <t>And so, you're gonna
see truck drivers suffer</t>
        </is>
      </c>
      <c r="D5241">
        <f>HYPERLINK("https://www.youtube.com/watch?v=NNj_JNAy6RI&amp;t=137s", "Go to time")</f>
        <v/>
      </c>
    </row>
    <row r="5242">
      <c r="A5242">
        <f>HYPERLINK("https://www.youtube.com/watch?v=OZzi_-CEE_A", "Video")</f>
        <v/>
      </c>
      <c r="B5242" t="inlineStr">
        <is>
          <t>1:23</t>
        </is>
      </c>
      <c r="C5242" t="inlineStr">
        <is>
          <t>to drive at three speeds.</t>
        </is>
      </c>
      <c r="D5242">
        <f>HYPERLINK("https://www.youtube.com/watch?v=OZzi_-CEE_A&amp;t=83s", "Go to time")</f>
        <v/>
      </c>
    </row>
    <row r="5243">
      <c r="A5243">
        <f>HYPERLINK("https://www.youtube.com/watch?v=KLuPWmwz4ac", "Video")</f>
        <v/>
      </c>
      <c r="B5243" t="inlineStr">
        <is>
          <t>5:24</t>
        </is>
      </c>
      <c r="C5243" t="inlineStr">
        <is>
          <t>money to drive things they they just can</t>
        </is>
      </c>
      <c r="D5243">
        <f>HYPERLINK("https://www.youtube.com/watch?v=KLuPWmwz4ac&amp;t=324s", "Go to time")</f>
        <v/>
      </c>
    </row>
    <row r="5244">
      <c r="A5244">
        <f>HYPERLINK("https://www.youtube.com/watch?v=BEfCsGzCHcE", "Video")</f>
        <v/>
      </c>
      <c r="B5244" t="inlineStr">
        <is>
          <t>3:02</t>
        </is>
      </c>
      <c r="C5244" t="inlineStr">
        <is>
          <t>- [Driver] Hello.</t>
        </is>
      </c>
      <c r="D5244">
        <f>HYPERLINK("https://www.youtube.com/watch?v=BEfCsGzCHcE&amp;t=182s", "Go to time")</f>
        <v/>
      </c>
    </row>
    <row r="5245">
      <c r="A5245">
        <f>HYPERLINK("https://www.youtube.com/watch?v=4i-FocwENAg", "Video")</f>
        <v/>
      </c>
      <c r="B5245" t="inlineStr">
        <is>
          <t>1:40</t>
        </is>
      </c>
      <c r="C5245" t="inlineStr">
        <is>
          <t>that drive the success of a business?</t>
        </is>
      </c>
      <c r="D5245">
        <f>HYPERLINK("https://www.youtube.com/watch?v=4i-FocwENAg&amp;t=100s", "Go to time")</f>
        <v/>
      </c>
    </row>
    <row r="5246">
      <c r="A5246">
        <f>HYPERLINK("https://www.youtube.com/watch?v=4i-FocwENAg", "Video")</f>
        <v/>
      </c>
      <c r="B5246" t="inlineStr">
        <is>
          <t>5:05</t>
        </is>
      </c>
      <c r="C5246" t="inlineStr">
        <is>
          <t>- Your location decision
should never be driven</t>
        </is>
      </c>
      <c r="D5246">
        <f>HYPERLINK("https://www.youtube.com/watch?v=4i-FocwENAg&amp;t=305s", "Go to time")</f>
        <v/>
      </c>
    </row>
    <row r="5247">
      <c r="A5247">
        <f>HYPERLINK("https://www.youtube.com/watch?v=fwRVasd-QPY", "Video")</f>
        <v/>
      </c>
      <c r="B5247" t="inlineStr">
        <is>
          <t>0:20</t>
        </is>
      </c>
      <c r="C5247" t="inlineStr">
        <is>
          <t>have access to the fun
music and video-driven app.</t>
        </is>
      </c>
      <c r="D5247">
        <f>HYPERLINK("https://www.youtube.com/watch?v=fwRVasd-QPY&amp;t=20s", "Go to time")</f>
        <v/>
      </c>
    </row>
    <row r="5248">
      <c r="A5248">
        <f>HYPERLINK("https://www.youtube.com/watch?v=Tau4I3ktq5w", "Video")</f>
        <v/>
      </c>
      <c r="B5248" t="inlineStr">
        <is>
          <t>1:48</t>
        </is>
      </c>
      <c r="C5248" t="inlineStr">
        <is>
          <t>and is ignited to drive the propellers.</t>
        </is>
      </c>
      <c r="D5248">
        <f>HYPERLINK("https://www.youtube.com/watch?v=Tau4I3ktq5w&amp;t=108s", "Go to time")</f>
        <v/>
      </c>
    </row>
    <row r="5249">
      <c r="A5249">
        <f>HYPERLINK("https://www.youtube.com/watch?v=wKQBcPlILA8", "Video")</f>
        <v/>
      </c>
      <c r="B5249" t="inlineStr">
        <is>
          <t>0:14</t>
        </is>
      </c>
      <c r="C5249" t="inlineStr">
        <is>
          <t>and driverless vehicles have moved in</t>
        </is>
      </c>
      <c r="D5249">
        <f>HYPERLINK("https://www.youtube.com/watch?v=wKQBcPlILA8&amp;t=14s", "Go to time")</f>
        <v/>
      </c>
    </row>
    <row r="5250">
      <c r="A5250">
        <f>HYPERLINK("https://www.youtube.com/watch?v=wKQBcPlILA8", "Video")</f>
        <v/>
      </c>
      <c r="B5250" t="inlineStr">
        <is>
          <t>4:03</t>
        </is>
      </c>
      <c r="C5250" t="inlineStr">
        <is>
          <t>drive autonomously on fixed loops</t>
        </is>
      </c>
      <c r="D5250">
        <f>HYPERLINK("https://www.youtube.com/watch?v=wKQBcPlILA8&amp;t=243s", "Go to time")</f>
        <v/>
      </c>
    </row>
    <row r="5251">
      <c r="A5251">
        <f>HYPERLINK("https://www.youtube.com/watch?v=BwbkMV0Y9BM", "Video")</f>
        <v/>
      </c>
      <c r="B5251" t="inlineStr">
        <is>
          <t>11:47</t>
        </is>
      </c>
      <c r="C5251" t="inlineStr">
        <is>
          <t>drivers down enough just turns out we</t>
        </is>
      </c>
      <c r="D5251">
        <f>HYPERLINK("https://www.youtube.com/watch?v=BwbkMV0Y9BM&amp;t=707s", "Go to time")</f>
        <v/>
      </c>
    </row>
    <row r="5252">
      <c r="A5252">
        <f>HYPERLINK("https://www.youtube.com/watch?v=BwbkMV0Y9BM", "Video")</f>
        <v/>
      </c>
      <c r="B5252" t="inlineStr">
        <is>
          <t>12:29</t>
        </is>
      </c>
      <c r="C5252" t="inlineStr">
        <is>
          <t>getting a car to not drive off the road</t>
        </is>
      </c>
      <c r="D5252">
        <f>HYPERLINK("https://www.youtube.com/watch?v=BwbkMV0Y9BM&amp;t=749s", "Go to time")</f>
        <v/>
      </c>
    </row>
    <row r="5253">
      <c r="A5253">
        <f>HYPERLINK("https://www.youtube.com/watch?v=BwbkMV0Y9BM", "Video")</f>
        <v/>
      </c>
      <c r="B5253" t="inlineStr">
        <is>
          <t>13:45</t>
        </is>
      </c>
      <c r="C5253" t="inlineStr">
        <is>
          <t>as human drivers you have to stop but if</t>
        </is>
      </c>
      <c r="D5253">
        <f>HYPERLINK("https://www.youtube.com/watch?v=BwbkMV0Y9BM&amp;t=825s", "Go to time")</f>
        <v/>
      </c>
    </row>
    <row r="5254">
      <c r="A5254">
        <f>HYPERLINK("https://www.youtube.com/watch?v=BwbkMV0Y9BM", "Video")</f>
        <v/>
      </c>
      <c r="B5254" t="inlineStr">
        <is>
          <t>13:48</t>
        </is>
      </c>
      <c r="C5254" t="inlineStr">
        <is>
          <t>a truck were to drive by with an octagon</t>
        </is>
      </c>
      <c r="D5254">
        <f>HYPERLINK("https://www.youtube.com/watch?v=BwbkMV0Y9BM&amp;t=828s", "Go to time")</f>
        <v/>
      </c>
    </row>
    <row r="5255">
      <c r="A5255">
        <f>HYPERLINK("https://www.youtube.com/watch?v=BwbkMV0Y9BM", "Video")</f>
        <v/>
      </c>
      <c r="B5255" t="inlineStr">
        <is>
          <t>18:32</t>
        </is>
      </c>
      <c r="C5255" t="inlineStr">
        <is>
          <t>they're just learning to drive you would</t>
        </is>
      </c>
      <c r="D5255">
        <f>HYPERLINK("https://www.youtube.com/watch?v=BwbkMV0Y9BM&amp;t=1112s", "Go to time")</f>
        <v/>
      </c>
    </row>
    <row r="5256">
      <c r="A5256">
        <f>HYPERLINK("https://www.youtube.com/watch?v=BwbkMV0Y9BM", "Video")</f>
        <v/>
      </c>
      <c r="B5256" t="inlineStr">
        <is>
          <t>18:35</t>
        </is>
      </c>
      <c r="C5256" t="inlineStr">
        <is>
          <t>let them drive without your hands pretty</t>
        </is>
      </c>
      <c r="D5256">
        <f>HYPERLINK("https://www.youtube.com/watch?v=BwbkMV0Y9BM&amp;t=1115s", "Go to time")</f>
        <v/>
      </c>
    </row>
    <row r="5257">
      <c r="A5257">
        <f>HYPERLINK("https://www.youtube.com/watch?v=BwbkMV0Y9BM", "Video")</f>
        <v/>
      </c>
      <c r="B5257" t="inlineStr">
        <is>
          <t>18:38</t>
        </is>
      </c>
      <c r="C5257" t="inlineStr">
        <is>
          <t>them drive for a little while while</t>
        </is>
      </c>
      <c r="D5257">
        <f>HYPERLINK("https://www.youtube.com/watch?v=BwbkMV0Y9BM&amp;t=1118s", "Go to time")</f>
        <v/>
      </c>
    </row>
    <row r="5258">
      <c r="A5258">
        <f>HYPERLINK("https://www.youtube.com/watch?v=BwbkMV0Y9BM", "Video")</f>
        <v/>
      </c>
      <c r="B5258" t="inlineStr">
        <is>
          <t>18:44</t>
        </is>
      </c>
      <c r="C5258" t="inlineStr">
        <is>
          <t>you can drive yourself but you have to</t>
        </is>
      </c>
      <c r="D5258">
        <f>HYPERLINK("https://www.youtube.com/watch?v=BwbkMV0Y9BM&amp;t=1124s", "Go to time")</f>
        <v/>
      </c>
    </row>
    <row r="5259">
      <c r="A5259">
        <f>HYPERLINK("https://www.youtube.com/watch?v=BwbkMV0Y9BM", "Video")</f>
        <v/>
      </c>
      <c r="B5259" t="inlineStr">
        <is>
          <t>18:48</t>
        </is>
      </c>
      <c r="C5259" t="inlineStr">
        <is>
          <t>maybe you can only drive during the</t>
        </is>
      </c>
      <c r="D5259">
        <f>HYPERLINK("https://www.youtube.com/watch?v=BwbkMV0Y9BM&amp;t=1128s", "Go to time")</f>
        <v/>
      </c>
    </row>
    <row r="5260">
      <c r="A5260">
        <f>HYPERLINK("https://www.youtube.com/watch?v=BwbkMV0Y9BM", "Video")</f>
        <v/>
      </c>
      <c r="B5260" t="inlineStr">
        <is>
          <t>39:51</t>
        </is>
      </c>
      <c r="C5260" t="inlineStr">
        <is>
          <t>things I'm not sure if You' ever driven</t>
        </is>
      </c>
      <c r="D5260">
        <f>HYPERLINK("https://www.youtube.com/watch?v=BwbkMV0Y9BM&amp;t=2391s", "Go to time")</f>
        <v/>
      </c>
    </row>
    <row r="5261">
      <c r="A5261">
        <f>HYPERLINK("https://www.youtube.com/watch?v=BwbkMV0Y9BM", "Video")</f>
        <v/>
      </c>
      <c r="B5261" t="inlineStr">
        <is>
          <t>40:27</t>
        </is>
      </c>
      <c r="C5261" t="inlineStr">
        <is>
          <t>where and those people drive in a</t>
        </is>
      </c>
      <c r="D5261">
        <f>HYPERLINK("https://www.youtube.com/watch?v=BwbkMV0Y9BM&amp;t=2427s", "Go to time")</f>
        <v/>
      </c>
    </row>
    <row r="5262">
      <c r="A5262">
        <f>HYPERLINK("https://www.youtube.com/watch?v=WpKQaRvtbA0", "Video")</f>
        <v/>
      </c>
      <c r="B5262" t="inlineStr">
        <is>
          <t>2:58</t>
        </is>
      </c>
      <c r="C5262" t="inlineStr">
        <is>
          <t>factions have been driven by local</t>
        </is>
      </c>
      <c r="D5262">
        <f>HYPERLINK("https://www.youtube.com/watch?v=WpKQaRvtbA0&amp;t=178s", "Go to time")</f>
        <v/>
      </c>
    </row>
    <row r="5263">
      <c r="A5263">
        <f>HYPERLINK("https://www.youtube.com/watch?v=Midn_UNnj5I", "Video")</f>
        <v/>
      </c>
      <c r="B5263" t="inlineStr">
        <is>
          <t>7:02</t>
        </is>
      </c>
      <c r="C5263" t="inlineStr">
        <is>
          <t>and we have tried to drive
the autonomy to the cockpit</t>
        </is>
      </c>
      <c r="D5263">
        <f>HYPERLINK("https://www.youtube.com/watch?v=Midn_UNnj5I&amp;t=422s", "Go to time")</f>
        <v/>
      </c>
    </row>
    <row r="5264">
      <c r="A5264">
        <f>HYPERLINK("https://www.youtube.com/watch?v=ro9Gznid8IU", "Video")</f>
        <v/>
      </c>
      <c r="B5264" t="inlineStr">
        <is>
          <t>0:24</t>
        </is>
      </c>
      <c r="C5264" t="inlineStr">
        <is>
          <t>going to really drive the direction in</t>
        </is>
      </c>
      <c r="D5264">
        <f>HYPERLINK("https://www.youtube.com/watch?v=ro9Gznid8IU&amp;t=24s", "Go to time")</f>
        <v/>
      </c>
    </row>
    <row r="5265">
      <c r="A5265">
        <f>HYPERLINK("https://www.youtube.com/watch?v=QDTzfxtZN8k", "Video")</f>
        <v/>
      </c>
      <c r="B5265" t="inlineStr">
        <is>
          <t>1:43</t>
        </is>
      </c>
      <c r="C5265" t="inlineStr">
        <is>
          <t>exercise activities people who drive 16</t>
        </is>
      </c>
      <c r="D5265">
        <f>HYPERLINK("https://www.youtube.com/watch?v=QDTzfxtZN8k&amp;t=103s", "Go to time")</f>
        <v/>
      </c>
    </row>
    <row r="5266">
      <c r="A5266">
        <f>HYPERLINK("https://www.youtube.com/watch?v=Nyta8HjvW_U", "Video")</f>
        <v/>
      </c>
      <c r="B5266" t="inlineStr">
        <is>
          <t>3:07</t>
        </is>
      </c>
      <c r="C5266" t="inlineStr">
        <is>
          <t>brand partnerships are the
next income driver for the IOC.</t>
        </is>
      </c>
      <c r="D5266">
        <f>HYPERLINK("https://www.youtube.com/watch?v=Nyta8HjvW_U&amp;t=187s", "Go to time")</f>
        <v/>
      </c>
    </row>
    <row r="5267">
      <c r="A5267">
        <f>HYPERLINK("https://www.youtube.com/watch?v=3-zt8CT5D9w", "Video")</f>
        <v/>
      </c>
      <c r="B5267" t="inlineStr">
        <is>
          <t>0:02</t>
        </is>
      </c>
      <c r="C5267" t="inlineStr">
        <is>
          <t>anyone who drives in New York City they</t>
        </is>
      </c>
      <c r="D5267">
        <f>HYPERLINK("https://www.youtube.com/watch?v=3-zt8CT5D9w&amp;t=2s", "Go to time")</f>
        <v/>
      </c>
    </row>
    <row r="5268">
      <c r="A5268">
        <f>HYPERLINK("https://www.youtube.com/watch?v=--cU7IU1dHw", "Video")</f>
        <v/>
      </c>
      <c r="B5268" t="inlineStr">
        <is>
          <t>5:21</t>
        </is>
      </c>
      <c r="C5268" t="inlineStr">
        <is>
          <t>but cars that can drive themselves
and also humanoid robots.</t>
        </is>
      </c>
      <c r="D5268">
        <f>HYPERLINK("https://www.youtube.com/watch?v=--cU7IU1dHw&amp;t=321s", "Go to time")</f>
        <v/>
      </c>
    </row>
    <row r="5269">
      <c r="A5269">
        <f>HYPERLINK("https://www.youtube.com/watch?v=FWOQmoG09S4", "Video")</f>
        <v/>
      </c>
      <c r="B5269" t="inlineStr">
        <is>
          <t>2:11</t>
        </is>
      </c>
      <c r="C5269" t="inlineStr">
        <is>
          <t>the Arctic so much that ships can drive</t>
        </is>
      </c>
      <c r="D5269">
        <f>HYPERLINK("https://www.youtube.com/watch?v=FWOQmoG09S4&amp;t=131s", "Go to time")</f>
        <v/>
      </c>
    </row>
    <row r="5270">
      <c r="A5270">
        <f>HYPERLINK("https://www.youtube.com/watch?v=jQZd_oqmdJg", "Video")</f>
        <v/>
      </c>
      <c r="B5270" t="inlineStr">
        <is>
          <t>3:27</t>
        </is>
      </c>
      <c r="C5270" t="inlineStr">
        <is>
          <t>wherever you want it to be we've driven</t>
        </is>
      </c>
      <c r="D5270">
        <f>HYPERLINK("https://www.youtube.com/watch?v=jQZd_oqmdJg&amp;t=207s", "Go to time")</f>
        <v/>
      </c>
    </row>
    <row r="5271">
      <c r="A5271">
        <f>HYPERLINK("https://www.youtube.com/watch?v=SwazJwYUnS8", "Video")</f>
        <v/>
      </c>
      <c r="B5271" t="inlineStr">
        <is>
          <t>3:13</t>
        </is>
      </c>
      <c r="C5271" t="inlineStr">
        <is>
          <t>of drivers and dock workers at the company.</t>
        </is>
      </c>
      <c r="D5271">
        <f>HYPERLINK("https://www.youtube.com/watch?v=SwazJwYUnS8&amp;t=193s", "Go to time")</f>
        <v/>
      </c>
    </row>
    <row r="5272">
      <c r="A5272">
        <f>HYPERLINK("https://www.youtube.com/watch?v=SwazJwYUnS8", "Video")</f>
        <v/>
      </c>
      <c r="B5272" t="inlineStr">
        <is>
          <t>5:45</t>
        </is>
      </c>
      <c r="C5272" t="inlineStr">
        <is>
          <t>changes in the way drivers did their jobs on the docks.</t>
        </is>
      </c>
      <c r="D5272">
        <f>HYPERLINK("https://www.youtube.com/watch?v=SwazJwYUnS8&amp;t=345s", "Go to time")</f>
        <v/>
      </c>
    </row>
    <row r="5273">
      <c r="A5273">
        <f>HYPERLINK("https://www.youtube.com/watch?v=ESeiTxNIp1c", "Video")</f>
        <v/>
      </c>
      <c r="B5273" t="inlineStr">
        <is>
          <t>0:28</t>
        </is>
      </c>
      <c r="C5273" t="inlineStr">
        <is>
          <t>it has driven a wedge between ukra ukine</t>
        </is>
      </c>
      <c r="D5273">
        <f>HYPERLINK("https://www.youtube.com/watch?v=ESeiTxNIp1c&amp;t=28s", "Go to time")</f>
        <v/>
      </c>
    </row>
    <row r="5274">
      <c r="A5274">
        <f>HYPERLINK("https://www.youtube.com/watch?v=mPUGh0qAqWA", "Video")</f>
        <v/>
      </c>
      <c r="B5274" t="inlineStr">
        <is>
          <t>3:33</t>
        </is>
      </c>
      <c r="C5274" t="inlineStr">
        <is>
          <t>- [Narrator] Tesla has
said drivers operating</t>
        </is>
      </c>
      <c r="D5274">
        <f>HYPERLINK("https://www.youtube.com/watch?v=mPUGh0qAqWA&amp;t=213s", "Go to time")</f>
        <v/>
      </c>
    </row>
    <row r="5275">
      <c r="A5275">
        <f>HYPERLINK("https://www.youtube.com/watch?v=mPUGh0qAqWA", "Video")</f>
        <v/>
      </c>
      <c r="B5275" t="inlineStr">
        <is>
          <t>3:47</t>
        </is>
      </c>
      <c r="C5275" t="inlineStr">
        <is>
          <t>But whether or not a driver is alert,</t>
        </is>
      </c>
      <c r="D5275">
        <f>HYPERLINK("https://www.youtube.com/watch?v=mPUGh0qAqWA&amp;t=227s", "Go to time")</f>
        <v/>
      </c>
    </row>
    <row r="5276">
      <c r="A5276">
        <f>HYPERLINK("https://www.youtube.com/watch?v=mPUGh0qAqWA", "Video")</f>
        <v/>
      </c>
      <c r="B5276" t="inlineStr">
        <is>
          <t>7:18</t>
        </is>
      </c>
      <c r="C5276" t="inlineStr">
        <is>
          <t>for the average driver.</t>
        </is>
      </c>
      <c r="D5276">
        <f>HYPERLINK("https://www.youtube.com/watch?v=mPUGh0qAqWA&amp;t=438s", "Go to time")</f>
        <v/>
      </c>
    </row>
    <row r="5277">
      <c r="A5277">
        <f>HYPERLINK("https://www.youtube.com/watch?v=mPUGh0qAqWA", "Video")</f>
        <v/>
      </c>
      <c r="B5277" t="inlineStr">
        <is>
          <t>7:20</t>
        </is>
      </c>
      <c r="C5277" t="inlineStr">
        <is>
          <t>Tesla says they provide drivers
with hundreds of data points</t>
        </is>
      </c>
      <c r="D5277">
        <f>HYPERLINK("https://www.youtube.com/watch?v=mPUGh0qAqWA&amp;t=440s", "Go to time")</f>
        <v/>
      </c>
    </row>
    <row r="5278">
      <c r="A5278">
        <f>HYPERLINK("https://www.youtube.com/watch?v=mPUGh0qAqWA", "Video")</f>
        <v/>
      </c>
      <c r="B5278" t="inlineStr">
        <is>
          <t>7:48</t>
        </is>
      </c>
      <c r="C5278" t="inlineStr">
        <is>
          <t>where it's captured a lot of
the drivers being reckless,</t>
        </is>
      </c>
      <c r="D5278">
        <f>HYPERLINK("https://www.youtube.com/watch?v=mPUGh0qAqWA&amp;t=468s", "Go to time")</f>
        <v/>
      </c>
    </row>
    <row r="5279">
      <c r="A5279">
        <f>HYPERLINK("https://www.youtube.com/watch?v=mPUGh0qAqWA", "Video")</f>
        <v/>
      </c>
      <c r="B5279" t="inlineStr">
        <is>
          <t>7:59</t>
        </is>
      </c>
      <c r="C5279" t="inlineStr">
        <is>
          <t>was it the driver or was it the Autopilot?</t>
        </is>
      </c>
      <c r="D5279">
        <f>HYPERLINK("https://www.youtube.com/watch?v=mPUGh0qAqWA&amp;t=479s", "Go to time")</f>
        <v/>
      </c>
    </row>
    <row r="5280">
      <c r="A5280">
        <f>HYPERLINK("https://www.youtube.com/watch?v=mPUGh0qAqWA", "Video")</f>
        <v/>
      </c>
      <c r="B5280" t="inlineStr">
        <is>
          <t>8:50</t>
        </is>
      </c>
      <c r="C5280" t="inlineStr">
        <is>
          <t>in the car's data is
the driver's confidence</t>
        </is>
      </c>
      <c r="D5280">
        <f>HYPERLINK("https://www.youtube.com/watch?v=mPUGh0qAqWA&amp;t=530s", "Go to time")</f>
        <v/>
      </c>
    </row>
    <row r="5281">
      <c r="A5281">
        <f>HYPERLINK("https://www.youtube.com/watch?v=mPUGh0qAqWA", "Video")</f>
        <v/>
      </c>
      <c r="B5281" t="inlineStr">
        <is>
          <t>9:31</t>
        </is>
      </c>
      <c r="C5281" t="inlineStr">
        <is>
          <t>can drive autonomously with
greater safety than a person.</t>
        </is>
      </c>
      <c r="D5281">
        <f>HYPERLINK("https://www.youtube.com/watch?v=mPUGh0qAqWA&amp;t=571s", "Go to time")</f>
        <v/>
      </c>
    </row>
    <row r="5282">
      <c r="A5282">
        <f>HYPERLINK("https://www.youtube.com/watch?v=mPUGh0qAqWA", "Video")</f>
        <v/>
      </c>
      <c r="B5282" t="inlineStr">
        <is>
          <t>9:40</t>
        </is>
      </c>
      <c r="C5282" t="inlineStr">
        <is>
          <t>The car currently drives me around Austin</t>
        </is>
      </c>
      <c r="D5282">
        <f>HYPERLINK("https://www.youtube.com/watch?v=mPUGh0qAqWA&amp;t=580s", "Go to time")</f>
        <v/>
      </c>
    </row>
    <row r="5283">
      <c r="A5283">
        <f>HYPERLINK("https://www.youtube.com/watch?v=FJnkg4dQ4JI", "Video")</f>
        <v/>
      </c>
      <c r="B5283" t="inlineStr">
        <is>
          <t>0:27</t>
        </is>
      </c>
      <c r="C5283" t="inlineStr">
        <is>
          <t>The company says they provide drivers</t>
        </is>
      </c>
      <c r="D5283">
        <f>HYPERLINK("https://www.youtube.com/watch?v=FJnkg4dQ4JI&amp;t=27s", "Go to time")</f>
        <v/>
      </c>
    </row>
    <row r="5284">
      <c r="A5284">
        <f>HYPERLINK("https://www.youtube.com/watch?v=FJnkg4dQ4JI", "Video")</f>
        <v/>
      </c>
      <c r="B5284" t="inlineStr">
        <is>
          <t>1:28</t>
        </is>
      </c>
      <c r="C5284" t="inlineStr">
        <is>
          <t>which is on a USB drive in
the car's glove compartment.</t>
        </is>
      </c>
      <c r="D5284">
        <f>HYPERLINK("https://www.youtube.com/watch?v=FJnkg4dQ4JI&amp;t=88s", "Go to time")</f>
        <v/>
      </c>
    </row>
    <row r="5285">
      <c r="A5285">
        <f>HYPERLINK("https://www.youtube.com/watch?v=FJnkg4dQ4JI", "Video")</f>
        <v/>
      </c>
      <c r="B5285" t="inlineStr">
        <is>
          <t>1:35</t>
        </is>
      </c>
      <c r="C5285" t="inlineStr">
        <is>
          <t>USB Drive? Looks like we have it.</t>
        </is>
      </c>
      <c r="D5285">
        <f>HYPERLINK("https://www.youtube.com/watch?v=FJnkg4dQ4JI&amp;t=95s", "Go to time")</f>
        <v/>
      </c>
    </row>
    <row r="5286">
      <c r="A5286">
        <f>HYPERLINK("https://www.youtube.com/watch?v=_W2yh9K9v0A", "Video")</f>
        <v/>
      </c>
      <c r="B5286" t="inlineStr">
        <is>
          <t>1:09</t>
        </is>
      </c>
      <c r="C5286" t="inlineStr">
        <is>
          <t>port in 2023 but coal can drive it</t>
        </is>
      </c>
      <c r="D5286">
        <f>HYPERLINK("https://www.youtube.com/watch?v=_W2yh9K9v0A&amp;t=69s", "Go to time")</f>
        <v/>
      </c>
    </row>
    <row r="5287">
      <c r="A5287">
        <f>HYPERLINK("https://www.youtube.com/watch?v=_W2yh9K9v0A", "Video")</f>
        <v/>
      </c>
      <c r="B5287" t="inlineStr">
        <is>
          <t>3:35</t>
        </is>
      </c>
      <c r="C5287" t="inlineStr">
        <is>
          <t>markets is not going to drive prices</t>
        </is>
      </c>
      <c r="D5287">
        <f>HYPERLINK("https://www.youtube.com/watch?v=_W2yh9K9v0A&amp;t=215s", "Go to time")</f>
        <v/>
      </c>
    </row>
    <row r="5288">
      <c r="A5288">
        <f>HYPERLINK("https://www.youtube.com/watch?v=jwQqjO0oICs", "Video")</f>
        <v/>
      </c>
      <c r="B5288" t="inlineStr">
        <is>
          <t>0:02</t>
        </is>
      </c>
      <c r="C5288" t="inlineStr">
        <is>
          <t>private driver at least for today his</t>
        </is>
      </c>
      <c r="D5288">
        <f>HYPERLINK("https://www.youtube.com/watch?v=jwQqjO0oICs&amp;t=2s", "Go to time")</f>
        <v/>
      </c>
    </row>
    <row r="5289">
      <c r="A5289">
        <f>HYPERLINK("https://www.youtube.com/watch?v=jwQqjO0oICs", "Video")</f>
        <v/>
      </c>
      <c r="B5289" t="inlineStr">
        <is>
          <t>0:14</t>
        </is>
      </c>
      <c r="C5289" t="inlineStr">
        <is>
          <t>company that drives kids when their</t>
        </is>
      </c>
      <c r="D5289">
        <f>HYPERLINK("https://www.youtube.com/watch?v=jwQqjO0oICs&amp;t=14s", "Go to time")</f>
        <v/>
      </c>
    </row>
    <row r="5290">
      <c r="A5290">
        <f>HYPERLINK("https://www.youtube.com/watch?v=jwQqjO0oICs", "Video")</f>
        <v/>
      </c>
      <c r="B5290" t="inlineStr">
        <is>
          <t>0:27</t>
        </is>
      </c>
      <c r="C5290" t="inlineStr">
        <is>
          <t>Driver not surprisingly safety is a</t>
        </is>
      </c>
      <c r="D5290">
        <f>HYPERLINK("https://www.youtube.com/watch?v=jwQqjO0oICs&amp;t=27s", "Go to time")</f>
        <v/>
      </c>
    </row>
    <row r="5291">
      <c r="A5291">
        <f>HYPERLINK("https://www.youtube.com/watch?v=jwQqjO0oICs", "Video")</f>
        <v/>
      </c>
      <c r="B5291" t="inlineStr">
        <is>
          <t>0:34</t>
        </is>
      </c>
      <c r="C5291" t="inlineStr">
        <is>
          <t>Uber kadoo only hires drivers who have</t>
        </is>
      </c>
      <c r="D5291">
        <f>HYPERLINK("https://www.youtube.com/watch?v=jwQqjO0oICs&amp;t=34s", "Go to time")</f>
        <v/>
      </c>
    </row>
    <row r="5292">
      <c r="A5292">
        <f>HYPERLINK("https://www.youtube.com/watch?v=jwQqjO0oICs", "Video")</f>
        <v/>
      </c>
      <c r="B5292" t="inlineStr">
        <is>
          <t>0:41</t>
        </is>
      </c>
      <c r="C5292" t="inlineStr">
        <is>
          <t>serve as ond demand drivers for kids</t>
        </is>
      </c>
      <c r="D5292">
        <f>HYPERLINK("https://www.youtube.com/watch?v=jwQqjO0oICs&amp;t=41s", "Go to time")</f>
        <v/>
      </c>
    </row>
    <row r="5293">
      <c r="A5293">
        <f>HYPERLINK("https://www.youtube.com/watch?v=jwQqjO0oICs", "Video")</f>
        <v/>
      </c>
      <c r="B5293" t="inlineStr">
        <is>
          <t>0:46</t>
        </is>
      </c>
      <c r="C5293" t="inlineStr">
        <is>
          <t>it was a pretty good drive about the</t>
        </is>
      </c>
      <c r="D5293">
        <f>HYPERLINK("https://www.youtube.com/watch?v=jwQqjO0oICs&amp;t=46s", "Go to time")</f>
        <v/>
      </c>
    </row>
    <row r="5294">
      <c r="A5294">
        <f>HYPERLINK("https://www.youtube.com/watch?v=jwQqjO0oICs", "Video")</f>
        <v/>
      </c>
      <c r="B5294" t="inlineStr">
        <is>
          <t>0:59</t>
        </is>
      </c>
      <c r="C5294" t="inlineStr">
        <is>
          <t>and skip drive all have mobile apps that</t>
        </is>
      </c>
      <c r="D5294">
        <f>HYPERLINK("https://www.youtube.com/watch?v=jwQqjO0oICs&amp;t=59s", "Go to time")</f>
        <v/>
      </c>
    </row>
    <row r="5295">
      <c r="A5295">
        <f>HYPERLINK("https://www.youtube.com/watch?v=jwQqjO0oICs", "Video")</f>
        <v/>
      </c>
      <c r="B5295" t="inlineStr">
        <is>
          <t>1:07</t>
        </is>
      </c>
      <c r="C5295" t="inlineStr">
        <is>
          <t>ride in the driver's personal vehicle it</t>
        </is>
      </c>
      <c r="D5295">
        <f>HYPERLINK("https://www.youtube.com/watch?v=jwQqjO0oICs&amp;t=67s", "Go to time")</f>
        <v/>
      </c>
    </row>
    <row r="5296">
      <c r="A5296">
        <f>HYPERLINK("https://www.youtube.com/watch?v=jwQqjO0oICs", "Video")</f>
        <v/>
      </c>
      <c r="B5296" t="inlineStr">
        <is>
          <t>1:22</t>
        </is>
      </c>
      <c r="C5296" t="inlineStr">
        <is>
          <t>driver at home with his parents before</t>
        </is>
      </c>
      <c r="D5296">
        <f>HYPERLINK("https://www.youtube.com/watch?v=jwQqjO0oICs&amp;t=82s", "Go to time")</f>
        <v/>
      </c>
    </row>
    <row r="5297">
      <c r="A5297">
        <f>HYPERLINK("https://www.youtube.com/watch?v=jwQqjO0oICs", "Video")</f>
        <v/>
      </c>
      <c r="B5297" t="inlineStr">
        <is>
          <t>1:31</t>
        </is>
      </c>
      <c r="C5297" t="inlineStr">
        <is>
          <t>specific drivers again in the future so</t>
        </is>
      </c>
      <c r="D5297">
        <f>HYPERLINK("https://www.youtube.com/watch?v=jwQqjO0oICs&amp;t=91s", "Go to time")</f>
        <v/>
      </c>
    </row>
    <row r="5298">
      <c r="A5298">
        <f>HYPERLINK("https://www.youtube.com/watch?v=jwQqjO0oICs", "Video")</f>
        <v/>
      </c>
      <c r="B5298" t="inlineStr">
        <is>
          <t>1:47</t>
        </is>
      </c>
      <c r="C5298" t="inlineStr">
        <is>
          <t>a super long drive like from my house to</t>
        </is>
      </c>
      <c r="D5298">
        <f>HYPERLINK("https://www.youtube.com/watch?v=jwQqjO0oICs&amp;t=107s", "Go to time")</f>
        <v/>
      </c>
    </row>
    <row r="5299">
      <c r="A5299">
        <f>HYPERLINK("https://www.youtube.com/watch?v=jwQqjO0oICs", "Video")</f>
        <v/>
      </c>
      <c r="B5299" t="inlineStr">
        <is>
          <t>1:56</t>
        </is>
      </c>
      <c r="C5299" t="inlineStr">
        <is>
          <t>yet and when is a fast Drive woohoo wooo</t>
        </is>
      </c>
      <c r="D5299">
        <f>HYPERLINK("https://www.youtube.com/watch?v=jwQqjO0oICs&amp;t=116s", "Go to time")</f>
        <v/>
      </c>
    </row>
    <row r="5300">
      <c r="A5300">
        <f>HYPERLINK("https://www.youtube.com/watch?v=qcZUrjLiEwY", "Video")</f>
        <v/>
      </c>
      <c r="B5300" t="inlineStr">
        <is>
          <t>0:36</t>
        </is>
      </c>
      <c r="C5300" t="inlineStr">
        <is>
          <t>dangerous Journey driven by the</t>
        </is>
      </c>
      <c r="D5300">
        <f>HYPERLINK("https://www.youtube.com/watch?v=qcZUrjLiEwY&amp;t=36s", "Go to time")</f>
        <v/>
      </c>
    </row>
    <row r="5301">
      <c r="A5301">
        <f>HYPERLINK("https://www.youtube.com/watch?v=0Gw1LoZQlL0", "Video")</f>
        <v/>
      </c>
      <c r="B5301" t="inlineStr">
        <is>
          <t>1:07</t>
        </is>
      </c>
      <c r="C5301" t="inlineStr">
        <is>
          <t>driven by Rising economic and security</t>
        </is>
      </c>
      <c r="D5301">
        <f>HYPERLINK("https://www.youtube.com/watch?v=0Gw1LoZQlL0&amp;t=67s", "Go to time")</f>
        <v/>
      </c>
    </row>
    <row r="5302">
      <c r="A5302">
        <f>HYPERLINK("https://www.youtube.com/watch?v=AnoP4ZIn_Yk", "Video")</f>
        <v/>
      </c>
      <c r="B5302" t="inlineStr">
        <is>
          <t>1:00</t>
        </is>
      </c>
      <c r="C5302" t="inlineStr">
        <is>
          <t>workers and drive wages lower than the</t>
        </is>
      </c>
      <c r="D5302">
        <f>HYPERLINK("https://www.youtube.com/watch?v=AnoP4ZIn_Yk&amp;t=60s", "Go to time")</f>
        <v/>
      </c>
    </row>
    <row r="5303">
      <c r="A5303">
        <f>HYPERLINK("https://www.youtube.com/watch?v=SqdfknEOF20", "Video")</f>
        <v/>
      </c>
      <c r="B5303" t="inlineStr">
        <is>
          <t>3:48</t>
        </is>
      </c>
      <c r="C5303" t="inlineStr">
        <is>
          <t>some analysts say workers are
still in the driver's seat.</t>
        </is>
      </c>
      <c r="D5303">
        <f>HYPERLINK("https://www.youtube.com/watch?v=SqdfknEOF20&amp;t=228s", "Go to time")</f>
        <v/>
      </c>
    </row>
    <row r="5304">
      <c r="A5304">
        <f>HYPERLINK("https://www.youtube.com/watch?v=tK-IXLOOgD0", "Video")</f>
        <v/>
      </c>
      <c r="B5304" t="inlineStr">
        <is>
          <t>0:54</t>
        </is>
      </c>
      <c r="C5304" t="inlineStr">
        <is>
          <t>about driverless cars the fact I would</t>
        </is>
      </c>
      <c r="D5304">
        <f>HYPERLINK("https://www.youtube.com/watch?v=tK-IXLOOgD0&amp;t=54s", "Go to time")</f>
        <v/>
      </c>
    </row>
    <row r="5305">
      <c r="A5305">
        <f>HYPERLINK("https://www.youtube.com/watch?v=tK-IXLOOgD0", "Video")</f>
        <v/>
      </c>
      <c r="B5305" t="inlineStr">
        <is>
          <t>0:58</t>
        </is>
      </c>
      <c r="C5305" t="inlineStr">
        <is>
          <t>driverless car with a network that has</t>
        </is>
      </c>
      <c r="D5305">
        <f>HYPERLINK("https://www.youtube.com/watch?v=tK-IXLOOgD0&amp;t=58s", "Go to time")</f>
        <v/>
      </c>
    </row>
    <row r="5306">
      <c r="A5306">
        <f>HYPERLINK("https://www.youtube.com/watch?v=UQyw4HLK3EI", "Video")</f>
        <v/>
      </c>
      <c r="B5306" t="inlineStr">
        <is>
          <t>2:02</t>
        </is>
      </c>
      <c r="C5306" t="inlineStr">
        <is>
          <t>- The design of these
rockets is driven strongly</t>
        </is>
      </c>
      <c r="D5306">
        <f>HYPERLINK("https://www.youtube.com/watch?v=UQyw4HLK3EI&amp;t=122s", "Go to time")</f>
        <v/>
      </c>
    </row>
    <row r="5307">
      <c r="A5307">
        <f>HYPERLINK("https://www.youtube.com/watch?v=UQyw4HLK3EI", "Video")</f>
        <v/>
      </c>
      <c r="B5307" t="inlineStr">
        <is>
          <t>2:45</t>
        </is>
      </c>
      <c r="C5307" t="inlineStr">
        <is>
          <t>- Reusability is what drives down the cost</t>
        </is>
      </c>
      <c r="D5307">
        <f>HYPERLINK("https://www.youtube.com/watch?v=UQyw4HLK3EI&amp;t=165s", "Go to time")</f>
        <v/>
      </c>
    </row>
    <row r="5308">
      <c r="A5308">
        <f>HYPERLINK("https://www.youtube.com/watch?v=jm8-FxCqyKQ", "Video")</f>
        <v/>
      </c>
      <c r="B5308" t="inlineStr">
        <is>
          <t>2:50</t>
        </is>
      </c>
      <c r="C5308" t="inlineStr">
        <is>
          <t>you don't just show up with a screwdriver.</t>
        </is>
      </c>
      <c r="D5308">
        <f>HYPERLINK("https://www.youtube.com/watch?v=jm8-FxCqyKQ&amp;t=170s", "Go to time")</f>
        <v/>
      </c>
    </row>
    <row r="5309">
      <c r="A5309">
        <f>HYPERLINK("https://www.youtube.com/watch?v=jm8-FxCqyKQ", "Video")</f>
        <v/>
      </c>
      <c r="B5309" t="inlineStr">
        <is>
          <t>2:52</t>
        </is>
      </c>
      <c r="C5309" t="inlineStr">
        <is>
          <t>You've got a screwdriver, a hammer, a saw,</t>
        </is>
      </c>
      <c r="D5309">
        <f>HYPERLINK("https://www.youtube.com/watch?v=jm8-FxCqyKQ&amp;t=172s", "Go to time")</f>
        <v/>
      </c>
    </row>
    <row r="5310">
      <c r="A5310">
        <f>HYPERLINK("https://www.youtube.com/watch?v=TDziCMsux1w", "Video")</f>
        <v/>
      </c>
      <c r="B5310" t="inlineStr">
        <is>
          <t>0:42</t>
        </is>
      </c>
      <c r="C5310" t="inlineStr">
        <is>
          <t>driverless cars but search is still at</t>
        </is>
      </c>
      <c r="D5310">
        <f>HYPERLINK("https://www.youtube.com/watch?v=TDziCMsux1w&amp;t=42s", "Go to time")</f>
        <v/>
      </c>
    </row>
    <row r="5311">
      <c r="A5311">
        <f>HYPERLINK("https://www.youtube.com/watch?v=Q9QuaDKXa0w", "Video")</f>
        <v/>
      </c>
      <c r="B5311" t="inlineStr">
        <is>
          <t>1:41</t>
        </is>
      </c>
      <c r="C5311" t="inlineStr">
        <is>
          <t>Achievers many high Achievers are driven</t>
        </is>
      </c>
      <c r="D5311">
        <f>HYPERLINK("https://www.youtube.com/watch?v=Q9QuaDKXa0w&amp;t=101s", "Go to time")</f>
        <v/>
      </c>
    </row>
    <row r="5312">
      <c r="A5312">
        <f>HYPERLINK("https://www.youtube.com/watch?v=3BWpDWI9MM8", "Video")</f>
        <v/>
      </c>
      <c r="B5312" t="inlineStr">
        <is>
          <t>0:38</t>
        </is>
      </c>
      <c r="C5312" t="inlineStr">
        <is>
          <t>in a nice quick punchy Drive this</t>
        </is>
      </c>
      <c r="D5312">
        <f>HYPERLINK("https://www.youtube.com/watch?v=3BWpDWI9MM8&amp;t=38s", "Go to time")</f>
        <v/>
      </c>
    </row>
    <row r="5313">
      <c r="A5313">
        <f>HYPERLINK("https://www.youtube.com/watch?v=P3eHJpC10UM", "Video")</f>
        <v/>
      </c>
      <c r="B5313" t="inlineStr">
        <is>
          <t>1:17</t>
        </is>
      </c>
      <c r="C5313" t="inlineStr">
        <is>
          <t>when mud dries or from convection driven</t>
        </is>
      </c>
      <c r="D5313">
        <f>HYPERLINK("https://www.youtube.com/watch?v=P3eHJpC10UM&amp;t=77s", "Go to time")</f>
        <v/>
      </c>
    </row>
    <row r="5314">
      <c r="A5314">
        <f>HYPERLINK("https://www.youtube.com/watch?v=Lv2YkL8rbaA", "Video")</f>
        <v/>
      </c>
      <c r="B5314" t="inlineStr">
        <is>
          <t>1:52</t>
        </is>
      </c>
      <c r="C5314" t="inlineStr">
        <is>
          <t>Drive classroom on their phone so they</t>
        </is>
      </c>
      <c r="D5314">
        <f>HYPERLINK("https://www.youtube.com/watch?v=Lv2YkL8rbaA&amp;t=112s", "Go to time")</f>
        <v/>
      </c>
    </row>
    <row r="5315">
      <c r="A5315">
        <f>HYPERLINK("https://www.youtube.com/watch?v=CNDFcoxfRb8", "Video")</f>
        <v/>
      </c>
      <c r="B5315" t="inlineStr">
        <is>
          <t>1:07</t>
        </is>
      </c>
      <c r="C5315" t="inlineStr">
        <is>
          <t>be a us driver some of that benefit is</t>
        </is>
      </c>
      <c r="D5315">
        <f>HYPERLINK("https://www.youtube.com/watch?v=CNDFcoxfRb8&amp;t=67s", "Go to time")</f>
        <v/>
      </c>
    </row>
    <row r="5316">
      <c r="A5316">
        <f>HYPERLINK("https://www.youtube.com/watch?v=CNDFcoxfRb8", "Video")</f>
        <v/>
      </c>
      <c r="B5316" t="inlineStr">
        <is>
          <t>3:27</t>
        </is>
      </c>
      <c r="C5316" t="inlineStr">
        <is>
          <t>trickle back to the US driver absolutely</t>
        </is>
      </c>
      <c r="D5316">
        <f>HYPERLINK("https://www.youtube.com/watch?v=CNDFcoxfRb8&amp;t=207s", "Go to time")</f>
        <v/>
      </c>
    </row>
    <row r="5317">
      <c r="A5317">
        <f>HYPERLINK("https://www.youtube.com/watch?v=g4EHW1S54Uo", "Video")</f>
        <v/>
      </c>
      <c r="B5317" t="inlineStr">
        <is>
          <t>2:24</t>
        </is>
      </c>
      <c r="C5317" t="inlineStr">
        <is>
          <t>not in a hard drive we're in a movie you</t>
        </is>
      </c>
      <c r="D5317">
        <f>HYPERLINK("https://www.youtube.com/watch?v=g4EHW1S54Uo&amp;t=144s", "Go to time")</f>
        <v/>
      </c>
    </row>
    <row r="5318">
      <c r="A5318">
        <f>HYPERLINK("https://www.youtube.com/watch?v=eKQ0sCgcsIc", "Video")</f>
        <v/>
      </c>
      <c r="B5318" t="inlineStr">
        <is>
          <t>1:56</t>
        </is>
      </c>
      <c r="C5318" t="inlineStr">
        <is>
          <t>sales will be driven so there's a hope</t>
        </is>
      </c>
      <c r="D5318">
        <f>HYPERLINK("https://www.youtube.com/watch?v=eKQ0sCgcsIc&amp;t=116s", "Go to time")</f>
        <v/>
      </c>
    </row>
    <row r="5319">
      <c r="A5319">
        <f>HYPERLINK("https://www.youtube.com/watch?v=FbqPCdbeZKU", "Video")</f>
        <v/>
      </c>
      <c r="B5319" t="inlineStr">
        <is>
          <t>2:26</t>
        </is>
      </c>
      <c r="C5319" t="inlineStr">
        <is>
          <t>could drive by it on the I forgotten the</t>
        </is>
      </c>
      <c r="D5319">
        <f>HYPERLINK("https://www.youtube.com/watch?v=FbqPCdbeZKU&amp;t=146s", "Go to time")</f>
        <v/>
      </c>
    </row>
    <row r="5320">
      <c r="A5320">
        <f>HYPERLINK("https://www.youtube.com/watch?v=p5fIdFXlTYg", "Video")</f>
        <v/>
      </c>
      <c r="B5320" t="inlineStr">
        <is>
          <t>2:16</t>
        </is>
      </c>
      <c r="C5320" t="inlineStr">
        <is>
          <t>groups arguing high drivers could drive</t>
        </is>
      </c>
      <c r="D5320">
        <f>HYPERLINK("https://www.youtube.com/watch?v=p5fIdFXlTYg&amp;t=136s", "Go to time")</f>
        <v/>
      </c>
    </row>
    <row r="5321">
      <c r="A5321">
        <f>HYPERLINK("https://www.youtube.com/watch?v=vFJj4E1G2Qc", "Video")</f>
        <v/>
      </c>
      <c r="B5321" t="inlineStr">
        <is>
          <t>2:14</t>
        </is>
      </c>
      <c r="C5321" t="inlineStr">
        <is>
          <t>can drive up the markets investors said</t>
        </is>
      </c>
      <c r="D5321">
        <f>HYPERLINK("https://www.youtube.com/watch?v=vFJj4E1G2Qc&amp;t=134s", "Go to time")</f>
        <v/>
      </c>
    </row>
    <row r="5322">
      <c r="A5322">
        <f>HYPERLINK("https://www.youtube.com/watch?v=vFJj4E1G2Qc", "Video")</f>
        <v/>
      </c>
      <c r="B5322" t="inlineStr">
        <is>
          <t>2:25</t>
        </is>
      </c>
      <c r="C5322" t="inlineStr">
        <is>
          <t>key driver for the stock market this</t>
        </is>
      </c>
      <c r="D5322">
        <f>HYPERLINK("https://www.youtube.com/watch?v=vFJj4E1G2Qc&amp;t=145s", "Go to time")</f>
        <v/>
      </c>
    </row>
    <row r="5323">
      <c r="A5323">
        <f>HYPERLINK("https://www.youtube.com/watch?v=0cxFcrl9uSw", "Video")</f>
        <v/>
      </c>
      <c r="B5323" t="inlineStr">
        <is>
          <t>5:09</t>
        </is>
      </c>
      <c r="C5323" t="inlineStr">
        <is>
          <t>is when you drive up the prices of</t>
        </is>
      </c>
      <c r="D5323">
        <f>HYPERLINK("https://www.youtube.com/watch?v=0cxFcrl9uSw&amp;t=309s", "Go to time")</f>
        <v/>
      </c>
    </row>
    <row r="5324">
      <c r="A5324">
        <f>HYPERLINK("https://www.youtube.com/watch?v=npbG9WgsDfU", "Video")</f>
        <v/>
      </c>
      <c r="B5324" t="inlineStr">
        <is>
          <t>1:31</t>
        </is>
      </c>
      <c r="C5324" t="inlineStr">
        <is>
          <t>researchers say that drivers don't</t>
        </is>
      </c>
      <c r="D5324">
        <f>HYPERLINK("https://www.youtube.com/watch?v=npbG9WgsDfU&amp;t=91s", "Go to time")</f>
        <v/>
      </c>
    </row>
    <row r="5325">
      <c r="A5325">
        <f>HYPERLINK("https://www.youtube.com/watch?v=npbG9WgsDfU", "Video")</f>
        <v/>
      </c>
      <c r="B5325" t="inlineStr">
        <is>
          <t>1:39</t>
        </is>
      </c>
      <c r="C5325" t="inlineStr">
        <is>
          <t>drivers and more passengers on the road</t>
        </is>
      </c>
      <c r="D5325">
        <f>HYPERLINK("https://www.youtube.com/watch?v=npbG9WgsDfU&amp;t=99s", "Go to time")</f>
        <v/>
      </c>
    </row>
    <row r="5326">
      <c r="A5326">
        <f>HYPERLINK("https://www.youtube.com/watch?v=npbG9WgsDfU", "Video")</f>
        <v/>
      </c>
      <c r="B5326" t="inlineStr">
        <is>
          <t>6:43</t>
        </is>
      </c>
      <c r="C5326" t="inlineStr">
        <is>
          <t>driverless cars or deployed years from</t>
        </is>
      </c>
      <c r="D5326">
        <f>HYPERLINK("https://www.youtube.com/watch?v=npbG9WgsDfU&amp;t=403s", "Go to time")</f>
        <v/>
      </c>
    </row>
    <row r="5327">
      <c r="A5327">
        <f>HYPERLINK("https://www.youtube.com/watch?v=F19N_G3FVrY", "Video")</f>
        <v/>
      </c>
      <c r="B5327" t="inlineStr">
        <is>
          <t>1:48</t>
        </is>
      </c>
      <c r="C5327" t="inlineStr">
        <is>
          <t>driven to get Love by getting public</t>
        </is>
      </c>
      <c r="D5327">
        <f>HYPERLINK("https://www.youtube.com/watch?v=F19N_G3FVrY&amp;t=108s", "Go to time")</f>
        <v/>
      </c>
    </row>
    <row r="5328">
      <c r="A5328">
        <f>HYPERLINK("https://www.youtube.com/watch?v=F19N_G3FVrY", "Video")</f>
        <v/>
      </c>
      <c r="B5328" t="inlineStr">
        <is>
          <t>4:37</t>
        </is>
      </c>
      <c r="C5328" t="inlineStr">
        <is>
          <t>have any except for her drive she had</t>
        </is>
      </c>
      <c r="D5328">
        <f>HYPERLINK("https://www.youtube.com/watch?v=F19N_G3FVrY&amp;t=277s", "Go to time")</f>
        <v/>
      </c>
    </row>
    <row r="5329">
      <c r="A5329">
        <f>HYPERLINK("https://www.youtube.com/watch?v=gfjVqsS3D1c", "Video")</f>
        <v/>
      </c>
      <c r="B5329" t="inlineStr">
        <is>
          <t>6:50</t>
        </is>
      </c>
      <c r="C5329" t="inlineStr">
        <is>
          <t>drive everywhere so um okay so let's do</t>
        </is>
      </c>
      <c r="D5329">
        <f>HYPERLINK("https://www.youtube.com/watch?v=gfjVqsS3D1c&amp;t=410s", "Go to time")</f>
        <v/>
      </c>
    </row>
    <row r="5330">
      <c r="A5330">
        <f>HYPERLINK("https://www.youtube.com/watch?v=gfjVqsS3D1c", "Video")</f>
        <v/>
      </c>
      <c r="B5330" t="inlineStr">
        <is>
          <t>7:31</t>
        </is>
      </c>
      <c r="C5330" t="inlineStr">
        <is>
          <t>lives as we drive and in La you spend a</t>
        </is>
      </c>
      <c r="D5330">
        <f>HYPERLINK("https://www.youtube.com/watch?v=gfjVqsS3D1c&amp;t=451s", "Go to time")</f>
        <v/>
      </c>
    </row>
    <row r="5331">
      <c r="A5331">
        <f>HYPERLINK("https://www.youtube.com/watch?v=_1DJHcju-oA", "Video")</f>
        <v/>
      </c>
      <c r="B5331" t="inlineStr">
        <is>
          <t>3:42</t>
        </is>
      </c>
      <c r="C5331" t="inlineStr">
        <is>
          <t>- [Narrator] The Taliban's
recruitment drive enabled them</t>
        </is>
      </c>
      <c r="D5331">
        <f>HYPERLINK("https://www.youtube.com/watch?v=_1DJHcju-oA&amp;t=222s", "Go to time")</f>
        <v/>
      </c>
    </row>
    <row r="5332">
      <c r="A5332">
        <f>HYPERLINK("https://www.youtube.com/watch?v=mrpc6xwOq4g", "Video")</f>
        <v/>
      </c>
      <c r="B5332" t="inlineStr">
        <is>
          <t>0:21</t>
        </is>
      </c>
      <c r="C5332" t="inlineStr">
        <is>
          <t>Cotswolds around a two-hour drive from</t>
        </is>
      </c>
      <c r="D5332">
        <f>HYPERLINK("https://www.youtube.com/watch?v=mrpc6xwOq4g&amp;t=21s", "Go to time")</f>
        <v/>
      </c>
    </row>
    <row r="5333">
      <c r="A5333">
        <f>HYPERLINK("https://www.youtube.com/watch?v=6KeVsjQmftc", "Video")</f>
        <v/>
      </c>
      <c r="B5333" t="inlineStr">
        <is>
          <t>1:32</t>
        </is>
      </c>
      <c r="C5333" t="inlineStr">
        <is>
          <t>and need to input your driver's license.</t>
        </is>
      </c>
      <c r="D5333">
        <f>HYPERLINK("https://www.youtube.com/watch?v=6KeVsjQmftc&amp;t=92s", "Go to time")</f>
        <v/>
      </c>
    </row>
    <row r="5334">
      <c r="A5334">
        <f>HYPERLINK("https://www.youtube.com/watch?v=XZuH9AXgyIE", "Video")</f>
        <v/>
      </c>
      <c r="B5334" t="inlineStr">
        <is>
          <t>1:51</t>
        </is>
      </c>
      <c r="C5334" t="inlineStr">
        <is>
          <t>you don't need a driver.</t>
        </is>
      </c>
      <c r="D5334">
        <f>HYPERLINK("https://www.youtube.com/watch?v=XZuH9AXgyIE&amp;t=111s", "Go to time")</f>
        <v/>
      </c>
    </row>
    <row r="5335">
      <c r="A5335">
        <f>HYPERLINK("https://www.youtube.com/watch?v=XZuH9AXgyIE", "Video")</f>
        <v/>
      </c>
      <c r="B5335" t="inlineStr">
        <is>
          <t>2:11</t>
        </is>
      </c>
      <c r="C5335" t="inlineStr">
        <is>
          <t>so that our car can drive
under heavy raining situation.</t>
        </is>
      </c>
      <c r="D5335">
        <f>HYPERLINK("https://www.youtube.com/watch?v=XZuH9AXgyIE&amp;t=131s", "Go to time")</f>
        <v/>
      </c>
    </row>
    <row r="5336">
      <c r="A5336">
        <f>HYPERLINK("https://www.youtube.com/watch?v=XZuH9AXgyIE", "Video")</f>
        <v/>
      </c>
      <c r="B5336" t="inlineStr">
        <is>
          <t>2:20</t>
        </is>
      </c>
      <c r="C5336" t="inlineStr">
        <is>
          <t>since not many people
have driver's licenses.</t>
        </is>
      </c>
      <c r="D5336">
        <f>HYPERLINK("https://www.youtube.com/watch?v=XZuH9AXgyIE&amp;t=140s", "Go to time")</f>
        <v/>
      </c>
    </row>
    <row r="5337">
      <c r="A5337">
        <f>HYPERLINK("https://www.youtube.com/watch?v=XZuH9AXgyIE", "Video")</f>
        <v/>
      </c>
      <c r="B5337" t="inlineStr">
        <is>
          <t>2:24</t>
        </is>
      </c>
      <c r="C5337" t="inlineStr">
        <is>
          <t>everyone know how to drive,</t>
        </is>
      </c>
      <c r="D5337">
        <f>HYPERLINK("https://www.youtube.com/watch?v=XZuH9AXgyIE&amp;t=144s", "Go to time")</f>
        <v/>
      </c>
    </row>
    <row r="5338">
      <c r="A5338">
        <f>HYPERLINK("https://www.youtube.com/watch?v=Jxq6V1j1aT4", "Video")</f>
        <v/>
      </c>
      <c r="B5338" t="inlineStr">
        <is>
          <t>0:57</t>
        </is>
      </c>
      <c r="C5338" t="inlineStr">
        <is>
          <t>it just drives me crazy so he made may</t>
        </is>
      </c>
      <c r="D5338">
        <f>HYPERLINK("https://www.youtube.com/watch?v=Jxq6V1j1aT4&amp;t=57s", "Go to time")</f>
        <v/>
      </c>
    </row>
    <row r="5339">
      <c r="A5339">
        <f>HYPERLINK("https://www.youtube.com/watch?v=AGO-c-8QXh0", "Video")</f>
        <v/>
      </c>
      <c r="B5339" t="inlineStr">
        <is>
          <t>0:26</t>
        </is>
      </c>
      <c r="C5339" t="inlineStr">
        <is>
          <t>drive international sales.</t>
        </is>
      </c>
      <c r="D5339">
        <f>HYPERLINK("https://www.youtube.com/watch?v=AGO-c-8QXh0&amp;t=26s", "Go to time")</f>
        <v/>
      </c>
    </row>
    <row r="5340">
      <c r="A5340">
        <f>HYPERLINK("https://www.youtube.com/watch?v=AGO-c-8QXh0", "Video")</f>
        <v/>
      </c>
      <c r="B5340" t="inlineStr">
        <is>
          <t>4:42</t>
        </is>
      </c>
      <c r="C5340" t="inlineStr">
        <is>
          <t>The company said the
promotion helped drive</t>
        </is>
      </c>
      <c r="D5340">
        <f>HYPERLINK("https://www.youtube.com/watch?v=AGO-c-8QXh0&amp;t=282s", "Go to time")</f>
        <v/>
      </c>
    </row>
    <row r="5341">
      <c r="A5341">
        <f>HYPERLINK("https://www.youtube.com/watch?v=qDTrY_yNqno", "Video")</f>
        <v/>
      </c>
      <c r="B5341" t="inlineStr">
        <is>
          <t>0:32</t>
        </is>
      </c>
      <c r="C5341" t="inlineStr">
        <is>
          <t>this latest stock market rise was driven</t>
        </is>
      </c>
      <c r="D5341">
        <f>HYPERLINK("https://www.youtube.com/watch?v=qDTrY_yNqno&amp;t=32s", "Go to time")</f>
        <v/>
      </c>
    </row>
    <row r="5342">
      <c r="A5342">
        <f>HYPERLINK("https://www.youtube.com/watch?v=qDTrY_yNqno", "Video")</f>
        <v/>
      </c>
      <c r="B5342" t="inlineStr">
        <is>
          <t>2:51</t>
        </is>
      </c>
      <c r="C5342" t="inlineStr">
        <is>
          <t>a handful of stocks have driven up the</t>
        </is>
      </c>
      <c r="D5342">
        <f>HYPERLINK("https://www.youtube.com/watch?v=qDTrY_yNqno&amp;t=171s", "Go to time")</f>
        <v/>
      </c>
    </row>
    <row r="5343">
      <c r="A5343">
        <f>HYPERLINK("https://www.youtube.com/watch?v=qDTrY_yNqno", "Video")</f>
        <v/>
      </c>
      <c r="B5343" t="inlineStr">
        <is>
          <t>6:31</t>
        </is>
      </c>
      <c r="C5343" t="inlineStr">
        <is>
          <t>investors say the fundamental drivers of</t>
        </is>
      </c>
      <c r="D5343">
        <f>HYPERLINK("https://www.youtube.com/watch?v=qDTrY_yNqno&amp;t=391s", "Go to time")</f>
        <v/>
      </c>
    </row>
    <row r="5344">
      <c r="A5344">
        <f>HYPERLINK("https://www.youtube.com/watch?v=Me8Slo-49tM", "Video")</f>
        <v/>
      </c>
      <c r="B5344" t="inlineStr">
        <is>
          <t>6:21</t>
        </is>
      </c>
      <c r="C5344" t="inlineStr">
        <is>
          <t>but they drive the whole
economy into recession.</t>
        </is>
      </c>
      <c r="D5344">
        <f>HYPERLINK("https://www.youtube.com/watch?v=Me8Slo-49tM&amp;t=381s", "Go to time")</f>
        <v/>
      </c>
    </row>
    <row r="5345">
      <c r="A5345">
        <f>HYPERLINK("https://www.youtube.com/watch?v=zfuKyPhdaLQ", "Video")</f>
        <v/>
      </c>
      <c r="B5345" t="inlineStr">
        <is>
          <t>1:51</t>
        </is>
      </c>
      <c r="C5345" t="inlineStr">
        <is>
          <t>driven planes</t>
        </is>
      </c>
      <c r="D5345">
        <f>HYPERLINK("https://www.youtube.com/watch?v=zfuKyPhdaLQ&amp;t=111s", "Go to time")</f>
        <v/>
      </c>
    </row>
    <row r="5346">
      <c r="A5346">
        <f>HYPERLINK("https://www.youtube.com/watch?v=lg1zb-g0OpY", "Video")</f>
        <v/>
      </c>
      <c r="B5346" t="inlineStr">
        <is>
          <t>1:53</t>
        </is>
      </c>
      <c r="C5346" t="inlineStr">
        <is>
          <t>drive anywhere so the company has</t>
        </is>
      </c>
      <c r="D5346">
        <f>HYPERLINK("https://www.youtube.com/watch?v=lg1zb-g0OpY&amp;t=113s", "Go to time")</f>
        <v/>
      </c>
    </row>
    <row r="5347">
      <c r="A5347">
        <f>HYPERLINK("https://www.youtube.com/watch?v=prhDrfUgpB0", "Video")</f>
        <v/>
      </c>
      <c r="B5347" t="inlineStr">
        <is>
          <t>1:38</t>
        </is>
      </c>
      <c r="C5347" t="inlineStr">
        <is>
          <t>specialized in drive-through coffee now</t>
        </is>
      </c>
      <c r="D5347">
        <f>HYPERLINK("https://www.youtube.com/watch?v=prhDrfUgpB0&amp;t=98s", "Go to time")</f>
        <v/>
      </c>
    </row>
    <row r="5348">
      <c r="A5348">
        <f>HYPERLINK("https://www.youtube.com/watch?v=a1aZjWt3tdg", "Video")</f>
        <v/>
      </c>
      <c r="B5348" t="inlineStr">
        <is>
          <t>3:59</t>
        </is>
      </c>
      <c r="C5348" t="inlineStr">
        <is>
          <t>model from export driven to Consumer</t>
        </is>
      </c>
      <c r="D5348">
        <f>HYPERLINK("https://www.youtube.com/watch?v=a1aZjWt3tdg&amp;t=239s", "Go to time")</f>
        <v/>
      </c>
    </row>
    <row r="5349">
      <c r="A5349">
        <f>HYPERLINK("https://www.youtube.com/watch?v=a1aZjWt3tdg", "Video")</f>
        <v/>
      </c>
      <c r="B5349" t="inlineStr">
        <is>
          <t>4:01</t>
        </is>
      </c>
      <c r="C5349" t="inlineStr">
        <is>
          <t>driven to to consumption driven by local</t>
        </is>
      </c>
      <c r="D5349">
        <f>HYPERLINK("https://www.youtube.com/watch?v=a1aZjWt3tdg&amp;t=241s", "Go to time")</f>
        <v/>
      </c>
    </row>
    <row r="5350">
      <c r="A5350">
        <f>HYPERLINK("https://www.youtube.com/watch?v=2CqFSqBL8E0", "Video")</f>
        <v/>
      </c>
      <c r="B5350" t="inlineStr">
        <is>
          <t>1:53</t>
        </is>
      </c>
      <c r="C5350" t="inlineStr">
        <is>
          <t>It's got to be driven</t>
        </is>
      </c>
      <c r="D5350">
        <f>HYPERLINK("https://www.youtube.com/watch?v=2CqFSqBL8E0&amp;t=113s", "Go to time")</f>
        <v/>
      </c>
    </row>
    <row r="5351">
      <c r="A5351">
        <f>HYPERLINK("https://www.youtube.com/watch?v=FA2LUUIcTUY", "Video")</f>
        <v/>
      </c>
      <c r="B5351" t="inlineStr">
        <is>
          <t>4:16</t>
        </is>
      </c>
      <c r="C5351" t="inlineStr">
        <is>
          <t>and the path forward
will be driven by safety,</t>
        </is>
      </c>
      <c r="D5351">
        <f>HYPERLINK("https://www.youtube.com/watch?v=FA2LUUIcTUY&amp;t=256s", "Go to time")</f>
        <v/>
      </c>
    </row>
    <row r="5352">
      <c r="A5352">
        <f>HYPERLINK("https://www.youtube.com/watch?v=U5gqOwQROTg", "Video")</f>
        <v/>
      </c>
      <c r="B5352" t="inlineStr">
        <is>
          <t>3:19</t>
        </is>
      </c>
      <c r="C5352" t="inlineStr">
        <is>
          <t>- [Marc] You can hear the
motor drive in the lock</t>
        </is>
      </c>
      <c r="D5352">
        <f>HYPERLINK("https://www.youtube.com/watch?v=U5gqOwQROTg&amp;t=199s", "Go to time")</f>
        <v/>
      </c>
    </row>
    <row r="5353">
      <c r="A5353">
        <f>HYPERLINK("https://www.youtube.com/watch?v=mt_LOoGgf0g", "Video")</f>
        <v/>
      </c>
      <c r="B5353" t="inlineStr">
        <is>
          <t>7:00</t>
        </is>
      </c>
      <c r="C5353" t="inlineStr">
        <is>
          <t>featuring Reels and content driven</t>
        </is>
      </c>
      <c r="D5353">
        <f>HYPERLINK("https://www.youtube.com/watch?v=mt_LOoGgf0g&amp;t=420s", "Go to time")</f>
        <v/>
      </c>
    </row>
    <row r="5354">
      <c r="A5354">
        <f>HYPERLINK("https://www.youtube.com/watch?v=5rgTFHoO6oY", "Video")</f>
        <v/>
      </c>
      <c r="B5354" t="inlineStr">
        <is>
          <t>1:11</t>
        </is>
      </c>
      <c r="C5354" t="inlineStr">
        <is>
          <t>helped drive profits for many companies</t>
        </is>
      </c>
      <c r="D5354">
        <f>HYPERLINK("https://www.youtube.com/watch?v=5rgTFHoO6oY&amp;t=71s", "Go to time")</f>
        <v/>
      </c>
    </row>
    <row r="5355">
      <c r="A5355">
        <f>HYPERLINK("https://www.youtube.com/watch?v=5rgTFHoO6oY", "Video")</f>
        <v/>
      </c>
      <c r="B5355" t="inlineStr">
        <is>
          <t>1:38</t>
        </is>
      </c>
      <c r="C5355" t="inlineStr">
        <is>
          <t>with a bull run being driven</t>
        </is>
      </c>
      <c r="D5355">
        <f>HYPERLINK("https://www.youtube.com/watch?v=5rgTFHoO6oY&amp;t=98s", "Go to time")</f>
        <v/>
      </c>
    </row>
    <row r="5356">
      <c r="A5356">
        <f>HYPERLINK("https://www.youtube.com/watch?v=JjutrK5YHG0", "Video")</f>
        <v/>
      </c>
      <c r="B5356" t="inlineStr">
        <is>
          <t>4:56</t>
        </is>
      </c>
      <c r="C5356" t="inlineStr">
        <is>
          <t>better and drive sales for the retailer</t>
        </is>
      </c>
      <c r="D5356">
        <f>HYPERLINK("https://www.youtube.com/watch?v=JjutrK5YHG0&amp;t=296s", "Go to time")</f>
        <v/>
      </c>
    </row>
    <row r="5357">
      <c r="A5357">
        <f>HYPERLINK("https://www.youtube.com/watch?v=Akv-nbC0iik", "Video")</f>
        <v/>
      </c>
      <c r="B5357" t="inlineStr">
        <is>
          <t>2:57</t>
        </is>
      </c>
      <c r="C5357" t="inlineStr">
        <is>
          <t>Market should drive what your paying the</t>
        </is>
      </c>
      <c r="D5357">
        <f>HYPERLINK("https://www.youtube.com/watch?v=Akv-nbC0iik&amp;t=177s", "Go to time")</f>
        <v/>
      </c>
    </row>
    <row r="5358">
      <c r="A5358">
        <f>HYPERLINK("https://www.youtube.com/watch?v=q7CS1G5y_Ho", "Video")</f>
        <v/>
      </c>
      <c r="B5358" t="inlineStr">
        <is>
          <t>1:10</t>
        </is>
      </c>
      <c r="C5358" t="inlineStr">
        <is>
          <t>driven by compassion, by faith, by a</t>
        </is>
      </c>
      <c r="D5358">
        <f>HYPERLINK("https://www.youtube.com/watch?v=q7CS1G5y_Ho&amp;t=70s", "Go to time")</f>
        <v/>
      </c>
    </row>
    <row r="5359">
      <c r="A5359">
        <f>HYPERLINK("https://www.youtube.com/watch?v=Vn2duHVxUZ4", "Video")</f>
        <v/>
      </c>
      <c r="B5359" t="inlineStr">
        <is>
          <t>3:08</t>
        </is>
      </c>
      <c r="C5359" t="inlineStr">
        <is>
          <t>probably means having two backup drives</t>
        </is>
      </c>
      <c r="D5359">
        <f>HYPERLINK("https://www.youtube.com/watch?v=Vn2duHVxUZ4&amp;t=188s", "Go to time")</f>
        <v/>
      </c>
    </row>
    <row r="5360">
      <c r="A5360">
        <f>HYPERLINK("https://www.youtube.com/watch?v=Z0_ypI1tx-Y", "Video")</f>
        <v/>
      </c>
      <c r="B5360" t="inlineStr">
        <is>
          <t>1:22</t>
        </is>
      </c>
      <c r="C5360" t="inlineStr">
        <is>
          <t>wherever you drive in New Jersey you see</t>
        </is>
      </c>
      <c r="D5360">
        <f>HYPERLINK("https://www.youtube.com/watch?v=Z0_ypI1tx-Y&amp;t=82s", "Go to time")</f>
        <v/>
      </c>
    </row>
    <row r="5361">
      <c r="A5361">
        <f>HYPERLINK("https://www.youtube.com/watch?v=B_PcRNLuonc", "Video")</f>
        <v/>
      </c>
      <c r="B5361" t="inlineStr">
        <is>
          <t>0:58</t>
        </is>
      </c>
      <c r="C5361" t="inlineStr">
        <is>
          <t>folders hard drives even cameras overall</t>
        </is>
      </c>
      <c r="D5361">
        <f>HYPERLINK("https://www.youtube.com/watch?v=B_PcRNLuonc&amp;t=58s", "Go to time")</f>
        <v/>
      </c>
    </row>
    <row r="5362">
      <c r="A5362">
        <f>HYPERLINK("https://www.youtube.com/watch?v=OD1znlHRSPY", "Video")</f>
        <v/>
      </c>
      <c r="B5362" t="inlineStr">
        <is>
          <t>0:46</t>
        </is>
      </c>
      <c r="C5362" t="inlineStr">
        <is>
          <t>the providers are being driven by</t>
        </is>
      </c>
      <c r="D5362">
        <f>HYPERLINK("https://www.youtube.com/watch?v=OD1znlHRSPY&amp;t=46s", "Go to time")</f>
        <v/>
      </c>
    </row>
    <row r="5363">
      <c r="A5363">
        <f>HYPERLINK("https://www.youtube.com/watch?v=OD1znlHRSPY", "Video")</f>
        <v/>
      </c>
      <c r="B5363" t="inlineStr">
        <is>
          <t>1:00</t>
        </is>
      </c>
      <c r="C5363" t="inlineStr">
        <is>
          <t>driven to</t>
        </is>
      </c>
      <c r="D5363">
        <f>HYPERLINK("https://www.youtube.com/watch?v=OD1znlHRSPY&amp;t=60s", "Go to time")</f>
        <v/>
      </c>
    </row>
    <row r="5364">
      <c r="A5364">
        <f>HYPERLINK("https://www.youtube.com/watch?v=OD1znlHRSPY", "Video")</f>
        <v/>
      </c>
      <c r="B5364" t="inlineStr">
        <is>
          <t>1:09</t>
        </is>
      </c>
      <c r="C5364" t="inlineStr">
        <is>
          <t>consolidation is being more driven by</t>
        </is>
      </c>
      <c r="D5364">
        <f>HYPERLINK("https://www.youtube.com/watch?v=OD1znlHRSPY&amp;t=69s", "Go to time")</f>
        <v/>
      </c>
    </row>
    <row r="5365">
      <c r="A5365">
        <f>HYPERLINK("https://www.youtube.com/watch?v=v5Eui2XpMpU", "Video")</f>
        <v/>
      </c>
      <c r="B5365" t="inlineStr">
        <is>
          <t>4:17</t>
        </is>
      </c>
      <c r="C5365" t="inlineStr">
        <is>
          <t>this can be their everyday driver.</t>
        </is>
      </c>
      <c r="D5365">
        <f>HYPERLINK("https://www.youtube.com/watch?v=v5Eui2XpMpU&amp;t=257s", "Go to time")</f>
        <v/>
      </c>
    </row>
    <row r="5366">
      <c r="A5366">
        <f>HYPERLINK("https://www.youtube.com/watch?v=v5Eui2XpMpU", "Video")</f>
        <v/>
      </c>
      <c r="B5366" t="inlineStr">
        <is>
          <t>7:16</t>
        </is>
      </c>
      <c r="C5366" t="inlineStr">
        <is>
          <t>in how drivers approach EVs.</t>
        </is>
      </c>
      <c r="D5366">
        <f>HYPERLINK("https://www.youtube.com/watch?v=v5Eui2XpMpU&amp;t=436s", "Go to time")</f>
        <v/>
      </c>
    </row>
    <row r="5367">
      <c r="A5367">
        <f>HYPERLINK("https://www.youtube.com/watch?v=I7cdBjYd2Bo", "Video")</f>
        <v/>
      </c>
      <c r="B5367" t="inlineStr">
        <is>
          <t>0:07</t>
        </is>
      </c>
      <c r="C5367" t="inlineStr">
        <is>
          <t>driver of this instability is the 1400</t>
        </is>
      </c>
      <c r="D5367">
        <f>HYPERLINK("https://www.youtube.com/watch?v=I7cdBjYd2Bo&amp;t=7s", "Go to time")</f>
        <v/>
      </c>
    </row>
    <row r="5368">
      <c r="A5368">
        <f>HYPERLINK("https://www.youtube.com/watch?v=I7cdBjYd2Bo", "Video")</f>
        <v/>
      </c>
      <c r="B5368" t="inlineStr">
        <is>
          <t>3:25</t>
        </is>
      </c>
      <c r="C5368" t="inlineStr">
        <is>
          <t>fight against that mostly Sunni driven</t>
        </is>
      </c>
      <c r="D5368">
        <f>HYPERLINK("https://www.youtube.com/watch?v=I7cdBjYd2Bo&amp;t=205s", "Go to time")</f>
        <v/>
      </c>
    </row>
    <row r="5369">
      <c r="A5369">
        <f>HYPERLINK("https://www.youtube.com/watch?v=vW_Lkdh117o", "Video")</f>
        <v/>
      </c>
      <c r="B5369" t="inlineStr">
        <is>
          <t>3:28</t>
        </is>
      </c>
      <c r="C5369" t="inlineStr">
        <is>
          <t>that drives price as well it's based on</t>
        </is>
      </c>
      <c r="D5369">
        <f>HYPERLINK("https://www.youtube.com/watch?v=vW_Lkdh117o&amp;t=208s", "Go to time")</f>
        <v/>
      </c>
    </row>
    <row r="5370">
      <c r="A5370">
        <f>HYPERLINK("https://www.youtube.com/watch?v=-t2TdC2s5Uw", "Video")</f>
        <v/>
      </c>
      <c r="B5370" t="inlineStr">
        <is>
          <t>0:24</t>
        </is>
      </c>
      <c r="C5370" t="inlineStr">
        <is>
          <t>driven by increases in detection of</t>
        </is>
      </c>
      <c r="D5370">
        <f>HYPERLINK("https://www.youtube.com/watch?v=-t2TdC2s5Uw&amp;t=24s", "Go to time")</f>
        <v/>
      </c>
    </row>
    <row r="5371">
      <c r="A5371">
        <f>HYPERLINK("https://www.youtube.com/watch?v=-t2TdC2s5Uw", "Video")</f>
        <v/>
      </c>
      <c r="B5371" t="inlineStr">
        <is>
          <t>2:33</t>
        </is>
      </c>
      <c r="C5371" t="inlineStr">
        <is>
          <t>have that drive to breathe without us</t>
        </is>
      </c>
      <c r="D5371">
        <f>HYPERLINK("https://www.youtube.com/watch?v=-t2TdC2s5Uw&amp;t=153s", "Go to time")</f>
        <v/>
      </c>
    </row>
    <row r="5372">
      <c r="A5372">
        <f>HYPERLINK("https://www.youtube.com/watch?v=-t2TdC2s5Uw", "Video")</f>
        <v/>
      </c>
      <c r="B5372" t="inlineStr">
        <is>
          <t>2:40</t>
        </is>
      </c>
      <c r="C5372" t="inlineStr">
        <is>
          <t>blocked um then that drive to breathe</t>
        </is>
      </c>
      <c r="D5372">
        <f>HYPERLINK("https://www.youtube.com/watch?v=-t2TdC2s5Uw&amp;t=160s", "Go to time")</f>
        <v/>
      </c>
    </row>
    <row r="5373">
      <c r="A5373">
        <f>HYPERLINK("https://www.youtube.com/watch?v=xaSrTMS7W0Q", "Video")</f>
        <v/>
      </c>
      <c r="B5373" t="inlineStr">
        <is>
          <t>0:48</t>
        </is>
      </c>
      <c r="C5373" t="inlineStr">
        <is>
          <t>another hero driven film two things are</t>
        </is>
      </c>
      <c r="D5373">
        <f>HYPERLINK("https://www.youtube.com/watch?v=xaSrTMS7W0Q&amp;t=48s", "Go to time")</f>
        <v/>
      </c>
    </row>
    <row r="5374">
      <c r="A5374">
        <f>HYPERLINK("https://www.youtube.com/watch?v=nNHtLq4euD4", "Video")</f>
        <v/>
      </c>
      <c r="B5374" t="inlineStr">
        <is>
          <t>1:17</t>
        </is>
      </c>
      <c r="C5374" t="inlineStr">
        <is>
          <t>events kind of Drive voters back toward</t>
        </is>
      </c>
      <c r="D5374">
        <f>HYPERLINK("https://www.youtube.com/watch?v=nNHtLq4euD4&amp;t=77s", "Go to time")</f>
        <v/>
      </c>
    </row>
    <row r="5375">
      <c r="A5375">
        <f>HYPERLINK("https://www.youtube.com/watch?v=Y9b5HBSpbqs", "Video")</f>
        <v/>
      </c>
      <c r="B5375" t="inlineStr">
        <is>
          <t>5:44</t>
        </is>
      </c>
      <c r="C5375" t="inlineStr">
        <is>
          <t>and a purpose driven brand</t>
        </is>
      </c>
      <c r="D5375">
        <f>HYPERLINK("https://www.youtube.com/watch?v=Y9b5HBSpbqs&amp;t=344s", "Go to time")</f>
        <v/>
      </c>
    </row>
    <row r="5376">
      <c r="A5376">
        <f>HYPERLINK("https://www.youtube.com/watch?v=JitnVGlxHmU", "Video")</f>
        <v/>
      </c>
      <c r="B5376" t="inlineStr">
        <is>
          <t>2:03</t>
        </is>
      </c>
      <c r="C5376" t="inlineStr">
        <is>
          <t>luck drivers it has nearly a thousand</t>
        </is>
      </c>
      <c r="D5376">
        <f>HYPERLINK("https://www.youtube.com/watch?v=JitnVGlxHmU&amp;t=123s", "Go to time")</f>
        <v/>
      </c>
    </row>
    <row r="5377">
      <c r="A5377">
        <f>HYPERLINK("https://www.youtube.com/watch?v=Jv6eVvLI4fg", "Video")</f>
        <v/>
      </c>
      <c r="B5377" t="inlineStr">
        <is>
          <t>0:47</t>
        </is>
      </c>
      <c r="C5377" t="inlineStr">
        <is>
          <t>That heat is driven in
part by urban development.</t>
        </is>
      </c>
      <c r="D5377">
        <f>HYPERLINK("https://www.youtube.com/watch?v=Jv6eVvLI4fg&amp;t=47s", "Go to time")</f>
        <v/>
      </c>
    </row>
    <row r="5378">
      <c r="A5378">
        <f>HYPERLINK("https://www.youtube.com/watch?v=Jv6eVvLI4fg", "Video")</f>
        <v/>
      </c>
      <c r="B5378" t="inlineStr">
        <is>
          <t>2:18</t>
        </is>
      </c>
      <c r="C5378" t="inlineStr">
        <is>
          <t>- [Narrator] That's
driven Thompson, Phoenix</t>
        </is>
      </c>
      <c r="D5378">
        <f>HYPERLINK("https://www.youtube.com/watch?v=Jv6eVvLI4fg&amp;t=138s", "Go to time")</f>
        <v/>
      </c>
    </row>
    <row r="5379">
      <c r="A5379">
        <f>HYPERLINK("https://www.youtube.com/watch?v=1-OJX1rwnl8", "Video")</f>
        <v/>
      </c>
      <c r="B5379" t="inlineStr">
        <is>
          <t>4:22</t>
        </is>
      </c>
      <c r="C5379" t="inlineStr">
        <is>
          <t>either as drive-through or mobile order.</t>
        </is>
      </c>
      <c r="D5379">
        <f>HYPERLINK("https://www.youtube.com/watch?v=1-OJX1rwnl8&amp;t=262s", "Go to time")</f>
        <v/>
      </c>
    </row>
    <row r="5380">
      <c r="A5380">
        <f>HYPERLINK("https://www.youtube.com/watch?v=1-OJX1rwnl8", "Video")</f>
        <v/>
      </c>
      <c r="B5380" t="inlineStr">
        <is>
          <t>4:32</t>
        </is>
      </c>
      <c r="C5380" t="inlineStr">
        <is>
          <t>And a lot of that is through drive-thrus.</t>
        </is>
      </c>
      <c r="D5380">
        <f>HYPERLINK("https://www.youtube.com/watch?v=1-OJX1rwnl8&amp;t=272s", "Go to time")</f>
        <v/>
      </c>
    </row>
    <row r="5381">
      <c r="A5381">
        <f>HYPERLINK("https://www.youtube.com/watch?v=1-OJX1rwnl8", "Video")</f>
        <v/>
      </c>
      <c r="B5381" t="inlineStr">
        <is>
          <t>5:03</t>
        </is>
      </c>
      <c r="C5381" t="inlineStr">
        <is>
          <t>even in its drive-thru.</t>
        </is>
      </c>
      <c r="D5381">
        <f>HYPERLINK("https://www.youtube.com/watch?v=1-OJX1rwnl8&amp;t=303s", "Go to time")</f>
        <v/>
      </c>
    </row>
    <row r="5382">
      <c r="A5382">
        <f>HYPERLINK("https://www.youtube.com/watch?v=1-OJX1rwnl8", "Video")</f>
        <v/>
      </c>
      <c r="B5382" t="inlineStr">
        <is>
          <t>5:15</t>
        </is>
      </c>
      <c r="C5382" t="inlineStr">
        <is>
          <t>when you're ordering through
a drive-thru or a mobile app.</t>
        </is>
      </c>
      <c r="D5382">
        <f>HYPERLINK("https://www.youtube.com/watch?v=1-OJX1rwnl8&amp;t=315s", "Go to time")</f>
        <v/>
      </c>
    </row>
    <row r="5383">
      <c r="A5383">
        <f>HYPERLINK("https://www.youtube.com/watch?v=zbKdM4t13Lo", "Video")</f>
        <v/>
      </c>
      <c r="B5383" t="inlineStr">
        <is>
          <t>0:41</t>
        </is>
      </c>
      <c r="C5383" t="inlineStr">
        <is>
          <t>reductions in their cost will drive the</t>
        </is>
      </c>
      <c r="D5383">
        <f>HYPERLINK("https://www.youtube.com/watch?v=zbKdM4t13Lo&amp;t=41s", "Go to time")</f>
        <v/>
      </c>
    </row>
    <row r="5384">
      <c r="A5384">
        <f>HYPERLINK("https://www.youtube.com/watch?v=72PFN2on8lk", "Video")</f>
        <v/>
      </c>
      <c r="B5384" t="inlineStr">
        <is>
          <t>1:49</t>
        </is>
      </c>
      <c r="C5384" t="inlineStr">
        <is>
          <t>to management, technical and
infrastructure issues driven</t>
        </is>
      </c>
      <c r="D5384">
        <f>HYPERLINK("https://www.youtube.com/watch?v=72PFN2on8lk&amp;t=109s", "Go to time")</f>
        <v/>
      </c>
    </row>
    <row r="5385">
      <c r="A5385">
        <f>HYPERLINK("https://www.youtube.com/watch?v=72PFN2on8lk", "Video")</f>
        <v/>
      </c>
      <c r="B5385" t="inlineStr">
        <is>
          <t>3:29</t>
        </is>
      </c>
      <c r="C5385" t="inlineStr">
        <is>
          <t>was driven primarily
due to faulty software</t>
        </is>
      </c>
      <c r="D5385">
        <f>HYPERLINK("https://www.youtube.com/watch?v=72PFN2on8lk&amp;t=209s", "Go to time")</f>
        <v/>
      </c>
    </row>
    <row r="5386">
      <c r="A5386">
        <f>HYPERLINK("https://www.youtube.com/watch?v=p8DZXRDWSQo", "Video")</f>
        <v/>
      </c>
      <c r="B5386" t="inlineStr">
        <is>
          <t>0:16</t>
        </is>
      </c>
      <c r="C5386" t="inlineStr">
        <is>
          <t>drive, and an underpowered processor for</t>
        </is>
      </c>
      <c r="D5386">
        <f>HYPERLINK("https://www.youtube.com/watch?v=p8DZXRDWSQo&amp;t=16s", "Go to time")</f>
        <v/>
      </c>
    </row>
    <row r="5387">
      <c r="A5387">
        <f>HYPERLINK("https://www.youtube.com/watch?v=WJiLonyAPgY", "Video")</f>
        <v/>
      </c>
      <c r="B5387" t="inlineStr">
        <is>
          <t>1:24</t>
        </is>
      </c>
      <c r="C5387" t="inlineStr">
        <is>
          <t>treasury yields is very high that drives</t>
        </is>
      </c>
      <c r="D5387">
        <f>HYPERLINK("https://www.youtube.com/watch?v=WJiLonyAPgY&amp;t=84s", "Go to time")</f>
        <v/>
      </c>
    </row>
    <row r="5388">
      <c r="A5388">
        <f>HYPERLINK("https://www.youtube.com/watch?v=WJiLonyAPgY", "Video")</f>
        <v/>
      </c>
      <c r="B5388" t="inlineStr">
        <is>
          <t>2:05</t>
        </is>
      </c>
      <c r="C5388" t="inlineStr">
        <is>
          <t>corporate profits are the biggest driver</t>
        </is>
      </c>
      <c r="D5388">
        <f>HYPERLINK("https://www.youtube.com/watch?v=WJiLonyAPgY&amp;t=125s", "Go to time")</f>
        <v/>
      </c>
    </row>
    <row r="5389">
      <c r="A5389">
        <f>HYPERLINK("https://www.youtube.com/watch?v=Nt7bqwtjawY", "Video")</f>
        <v/>
      </c>
      <c r="B5389" t="inlineStr">
        <is>
          <t>0:21</t>
        </is>
      </c>
      <c r="C5389" t="inlineStr">
        <is>
          <t>property values drive rental prices snow</t>
        </is>
      </c>
      <c r="D5389">
        <f>HYPERLINK("https://www.youtube.com/watch?v=Nt7bqwtjawY&amp;t=21s", "Go to time")</f>
        <v/>
      </c>
    </row>
    <row r="5390">
      <c r="A5390">
        <f>HYPERLINK("https://www.youtube.com/watch?v=pBg3q2vHCLg", "Video")</f>
        <v/>
      </c>
      <c r="B5390" t="inlineStr">
        <is>
          <t>19:52</t>
        </is>
      </c>
      <c r="C5390" t="inlineStr">
        <is>
          <t>it does drive the price up. There's no</t>
        </is>
      </c>
      <c r="D5390">
        <f>HYPERLINK("https://www.youtube.com/watch?v=pBg3q2vHCLg&amp;t=1192s", "Go to time")</f>
        <v/>
      </c>
    </row>
    <row r="5391">
      <c r="A5391">
        <f>HYPERLINK("https://www.youtube.com/watch?v=9w5OuXLzP2o", "Video")</f>
        <v/>
      </c>
      <c r="B5391" t="inlineStr">
        <is>
          <t>0:28</t>
        </is>
      </c>
      <c r="C5391" t="inlineStr">
        <is>
          <t>to drive the I8 which is at at the top</t>
        </is>
      </c>
      <c r="D5391">
        <f>HYPERLINK("https://www.youtube.com/watch?v=9w5OuXLzP2o&amp;t=28s", "Go to time")</f>
        <v/>
      </c>
    </row>
    <row r="5392">
      <c r="A5392">
        <f>HYPERLINK("https://www.youtube.com/watch?v=9w5OuXLzP2o", "Video")</f>
        <v/>
      </c>
      <c r="B5392" t="inlineStr">
        <is>
          <t>1:28</t>
        </is>
      </c>
      <c r="C5392" t="inlineStr">
        <is>
          <t>uh with all-wheel drive so a huge uh uh</t>
        </is>
      </c>
      <c r="D5392">
        <f>HYPERLINK("https://www.youtube.com/watch?v=9w5OuXLzP2o&amp;t=88s", "Go to time")</f>
        <v/>
      </c>
    </row>
    <row r="5393">
      <c r="A5393">
        <f>HYPERLINK("https://www.youtube.com/watch?v=9w5OuXLzP2o", "Video")</f>
        <v/>
      </c>
      <c r="B5393" t="inlineStr">
        <is>
          <t>2:36</t>
        </is>
      </c>
      <c r="C5393" t="inlineStr">
        <is>
          <t>iPhone uh BMW's uh U LIF Drive</t>
        </is>
      </c>
      <c r="D5393">
        <f>HYPERLINK("https://www.youtube.com/watch?v=9w5OuXLzP2o&amp;t=156s", "Go to time")</f>
        <v/>
      </c>
    </row>
    <row r="5394">
      <c r="A5394">
        <f>HYPERLINK("https://www.youtube.com/watch?v=EfIEjx9bg78", "Video")</f>
        <v/>
      </c>
      <c r="B5394" t="inlineStr">
        <is>
          <t>0:43</t>
        </is>
      </c>
      <c r="C5394" t="inlineStr">
        <is>
          <t>mobile Computing has driven massive</t>
        </is>
      </c>
      <c r="D5394">
        <f>HYPERLINK("https://www.youtube.com/watch?v=EfIEjx9bg78&amp;t=43s", "Go to time")</f>
        <v/>
      </c>
    </row>
    <row r="5395">
      <c r="A5395">
        <f>HYPERLINK("https://www.youtube.com/watch?v=Uj2Wiszcn2E", "Video")</f>
        <v/>
      </c>
      <c r="B5395" t="inlineStr">
        <is>
          <t>1:23</t>
        </is>
      </c>
      <c r="C5395" t="inlineStr">
        <is>
          <t>uses by trained drivers in a controlled</t>
        </is>
      </c>
      <c r="D5395">
        <f>HYPERLINK("https://www.youtube.com/watch?v=Uj2Wiszcn2E&amp;t=83s", "Go to time")</f>
        <v/>
      </c>
    </row>
    <row r="5396">
      <c r="A5396">
        <f>HYPERLINK("https://www.youtube.com/watch?v=Uj2Wiszcn2E", "Video")</f>
        <v/>
      </c>
      <c r="B5396" t="inlineStr">
        <is>
          <t>1:53</t>
        </is>
      </c>
      <c r="C5396" t="inlineStr">
        <is>
          <t>guidelines a right-and drive when the</t>
        </is>
      </c>
      <c r="D5396">
        <f>HYPERLINK("https://www.youtube.com/watch?v=Uj2Wiszcn2E&amp;t=113s", "Go to time")</f>
        <v/>
      </c>
    </row>
    <row r="5397">
      <c r="A5397">
        <f>HYPERLINK("https://www.youtube.com/watch?v=Uj2Wiszcn2E", "Video")</f>
        <v/>
      </c>
      <c r="B5397" t="inlineStr">
        <is>
          <t>1:56</t>
        </is>
      </c>
      <c r="C5397" t="inlineStr">
        <is>
          <t>driver's seat and controls are on the</t>
        </is>
      </c>
      <c r="D5397">
        <f>HYPERLINK("https://www.youtube.com/watch?v=Uj2Wiszcn2E&amp;t=116s", "Go to time")</f>
        <v/>
      </c>
    </row>
    <row r="5398">
      <c r="A5398">
        <f>HYPERLINK("https://www.youtube.com/watch?v=RTqEp_B8hsk", "Video")</f>
        <v/>
      </c>
      <c r="B5398" t="inlineStr">
        <is>
          <t>0:33</t>
        </is>
      </c>
      <c r="C5398" t="inlineStr">
        <is>
          <t>CUV um it's designed to drive like a</t>
        </is>
      </c>
      <c r="D5398">
        <f>HYPERLINK("https://www.youtube.com/watch?v=RTqEp_B8hsk&amp;t=33s", "Go to time")</f>
        <v/>
      </c>
    </row>
    <row r="5399">
      <c r="A5399">
        <f>HYPERLINK("https://www.youtube.com/watch?v=RTqEp_B8hsk", "Video")</f>
        <v/>
      </c>
      <c r="B5399" t="inlineStr">
        <is>
          <t>1:17</t>
        </is>
      </c>
      <c r="C5399" t="inlineStr">
        <is>
          <t>drive it it doesn't seem that much</t>
        </is>
      </c>
      <c r="D5399">
        <f>HYPERLINK("https://www.youtube.com/watch?v=RTqEp_B8hsk&amp;t=77s", "Go to time")</f>
        <v/>
      </c>
    </row>
    <row r="5400">
      <c r="A5400">
        <f>HYPERLINK("https://www.youtube.com/watch?v=RTqEp_B8hsk", "Video")</f>
        <v/>
      </c>
      <c r="B5400" t="inlineStr">
        <is>
          <t>1:20</t>
        </is>
      </c>
      <c r="C5400" t="inlineStr">
        <is>
          <t>the way it drives the way it handles</t>
        </is>
      </c>
      <c r="D5400">
        <f>HYPERLINK("https://www.youtube.com/watch?v=RTqEp_B8hsk&amp;t=80s", "Go to time")</f>
        <v/>
      </c>
    </row>
    <row r="5401">
      <c r="A5401">
        <f>HYPERLINK("https://www.youtube.com/watch?v=RRlrZpD_6Rg", "Video")</f>
        <v/>
      </c>
      <c r="B5401" t="inlineStr">
        <is>
          <t>3:47</t>
        </is>
      </c>
      <c r="C5401" t="inlineStr">
        <is>
          <t>one's flight um uh drivers use it to</t>
        </is>
      </c>
      <c r="D5401">
        <f>HYPERLINK("https://www.youtube.com/watch?v=RRlrZpD_6Rg&amp;t=227s", "Go to time")</f>
        <v/>
      </c>
    </row>
    <row r="5402">
      <c r="A5402">
        <f>HYPERLINK("https://www.youtube.com/watch?v=QUYODQB_2wQ", "Video")</f>
        <v/>
      </c>
      <c r="B5402" t="inlineStr">
        <is>
          <t>8:35</t>
        </is>
      </c>
      <c r="C5402" t="inlineStr">
        <is>
          <t>Go to photos and delete images of your driver's license,</t>
        </is>
      </c>
      <c r="D5402">
        <f>HYPERLINK("https://www.youtube.com/watch?v=QUYODQB_2wQ&amp;t=515s", "Go to time")</f>
        <v/>
      </c>
    </row>
    <row r="5403">
      <c r="A5403">
        <f>HYPERLINK("https://www.youtube.com/watch?v=e7KrU2kG4t4", "Video")</f>
        <v/>
      </c>
      <c r="B5403" t="inlineStr">
        <is>
          <t>3:38</t>
        </is>
      </c>
      <c r="C5403" t="inlineStr">
        <is>
          <t>to pay drivers a minimum
of $17.22 an hour,</t>
        </is>
      </c>
      <c r="D5403">
        <f>HYPERLINK("https://www.youtube.com/watch?v=e7KrU2kG4t4&amp;t=218s", "Go to time")</f>
        <v/>
      </c>
    </row>
    <row r="5404">
      <c r="A5404">
        <f>HYPERLINK("https://www.youtube.com/watch?v=g7zjp_hsnF4", "Video")</f>
        <v/>
      </c>
      <c r="B5404" t="inlineStr">
        <is>
          <t>2:39</t>
        </is>
      </c>
      <c r="C5404" t="inlineStr">
        <is>
          <t>my job have driven this car around a</t>
        </is>
      </c>
      <c r="D5404">
        <f>HYPERLINK("https://www.youtube.com/watch?v=g7zjp_hsnF4&amp;t=159s", "Go to time")</f>
        <v/>
      </c>
    </row>
    <row r="5405">
      <c r="A5405">
        <f>HYPERLINK("https://www.youtube.com/watch?v=hmn7rquuzoI", "Video")</f>
        <v/>
      </c>
      <c r="B5405" t="inlineStr">
        <is>
          <t>5:14</t>
        </is>
      </c>
      <c r="C5405" t="inlineStr">
        <is>
          <t>call the shortages of pilots driven by</t>
        </is>
      </c>
      <c r="D5405">
        <f>HYPERLINK("https://www.youtube.com/watch?v=hmn7rquuzoI&amp;t=314s", "Go to time")</f>
        <v/>
      </c>
    </row>
    <row r="5406">
      <c r="A5406">
        <f>HYPERLINK("https://www.youtube.com/watch?v=jP6JiLXpqoM", "Video")</f>
        <v/>
      </c>
      <c r="B5406" t="inlineStr">
        <is>
          <t>6:01</t>
        </is>
      </c>
      <c r="C5406" t="inlineStr">
        <is>
          <t>I mean, again it really
depends on the taxi driver</t>
        </is>
      </c>
      <c r="D5406">
        <f>HYPERLINK("https://www.youtube.com/watch?v=jP6JiLXpqoM&amp;t=361s", "Go to time")</f>
        <v/>
      </c>
    </row>
    <row r="5407">
      <c r="A5407">
        <f>HYPERLINK("https://www.youtube.com/watch?v=4K0fm0bAV6Q", "Video")</f>
        <v/>
      </c>
      <c r="B5407" t="inlineStr">
        <is>
          <t>4:22</t>
        </is>
      </c>
      <c r="C5407" t="inlineStr">
        <is>
          <t>have my driver's license so I could show</t>
        </is>
      </c>
      <c r="D5407">
        <f>HYPERLINK("https://www.youtube.com/watch?v=4K0fm0bAV6Q&amp;t=262s", "Go to time")</f>
        <v/>
      </c>
    </row>
    <row r="5408">
      <c r="A5408">
        <f>HYPERLINK("https://www.youtube.com/watch?v=JLOGuPQNOKg", "Video")</f>
        <v/>
      </c>
      <c r="B5408" t="inlineStr">
        <is>
          <t>0:40</t>
        </is>
      </c>
      <c r="C5408" t="inlineStr">
        <is>
          <t>there's Adam driver's kylo Ren nothing</t>
        </is>
      </c>
      <c r="D5408">
        <f>HYPERLINK("https://www.youtube.com/watch?v=JLOGuPQNOKg&amp;t=40s", "Go to time")</f>
        <v/>
      </c>
    </row>
    <row r="5409">
      <c r="A5409">
        <f>HYPERLINK("https://www.youtube.com/watch?v=iAE1wI4tnCc", "Video")</f>
        <v/>
      </c>
      <c r="B5409" t="inlineStr">
        <is>
          <t>0:55</t>
        </is>
      </c>
      <c r="C5409" t="inlineStr">
        <is>
          <t>observed 56,000 drivers in school zones</t>
        </is>
      </c>
      <c r="D5409">
        <f>HYPERLINK("https://www.youtube.com/watch?v=iAE1wI4tnCc&amp;t=55s", "Go to time")</f>
        <v/>
      </c>
    </row>
    <row r="5410">
      <c r="A5410">
        <f>HYPERLINK("https://www.youtube.com/watch?v=iAE1wI4tnCc", "Video")</f>
        <v/>
      </c>
      <c r="B5410" t="inlineStr">
        <is>
          <t>3:38</t>
        </is>
      </c>
      <c r="C5410" t="inlineStr">
        <is>
          <t>driver's license now I'm just worried</t>
        </is>
      </c>
      <c r="D5410">
        <f>HYPERLINK("https://www.youtube.com/watch?v=iAE1wI4tnCc&amp;t=218s", "Go to time")</f>
        <v/>
      </c>
    </row>
    <row r="5411">
      <c r="A5411">
        <f>HYPERLINK("https://www.youtube.com/watch?v=R9FJKQTJ3V4", "Video")</f>
        <v/>
      </c>
      <c r="B5411" t="inlineStr">
        <is>
          <t>6:24</t>
        </is>
      </c>
      <c r="C5411" t="inlineStr">
        <is>
          <t>her who has the grades has the drive has</t>
        </is>
      </c>
      <c r="D5411">
        <f>HYPERLINK("https://www.youtube.com/watch?v=R9FJKQTJ3V4&amp;t=384s", "Go to time")</f>
        <v/>
      </c>
    </row>
    <row r="5412">
      <c r="A5412">
        <f>HYPERLINK("https://www.youtube.com/watch?v=Pimv3e6wW3s", "Video")</f>
        <v/>
      </c>
      <c r="B5412" t="inlineStr">
        <is>
          <t>1:05</t>
        </is>
      </c>
      <c r="C5412" t="inlineStr">
        <is>
          <t>systems it's uh all app driven it's got</t>
        </is>
      </c>
      <c r="D5412">
        <f>HYPERLINK("https://www.youtube.com/watch?v=Pimv3e6wW3s&amp;t=65s", "Go to time")</f>
        <v/>
      </c>
    </row>
    <row r="5413">
      <c r="A5413">
        <f>HYPERLINK("https://www.youtube.com/watch?v=9__3hX3SegI", "Video")</f>
        <v/>
      </c>
      <c r="B5413" t="inlineStr">
        <is>
          <t>2:13</t>
        </is>
      </c>
      <c r="C5413" t="inlineStr">
        <is>
          <t>external monitor my external hard drive</t>
        </is>
      </c>
      <c r="D5413">
        <f>HYPERLINK("https://www.youtube.com/watch?v=9__3hX3SegI&amp;t=133s", "Go to time")</f>
        <v/>
      </c>
    </row>
    <row r="5414">
      <c r="A5414">
        <f>HYPERLINK("https://www.youtube.com/watch?v=9__3hX3SegI", "Video")</f>
        <v/>
      </c>
      <c r="B5414" t="inlineStr">
        <is>
          <t>2:28</t>
        </is>
      </c>
      <c r="C5414" t="inlineStr">
        <is>
          <t>Google drive space but my biggest issue</t>
        </is>
      </c>
      <c r="D5414">
        <f>HYPERLINK("https://www.youtube.com/watch?v=9__3hX3SegI&amp;t=148s", "Go to time")</f>
        <v/>
      </c>
    </row>
    <row r="5415">
      <c r="A5415">
        <f>HYPERLINK("https://www.youtube.com/watch?v=9__3hX3SegI", "Video")</f>
        <v/>
      </c>
      <c r="B5415" t="inlineStr">
        <is>
          <t>2:37</t>
        </is>
      </c>
      <c r="C5415" t="inlineStr">
        <is>
          <t>perfect you can prepare Google Drive and</t>
        </is>
      </c>
      <c r="D5415">
        <f>HYPERLINK("https://www.youtube.com/watch?v=9__3hX3SegI&amp;t=157s", "Go to time")</f>
        <v/>
      </c>
    </row>
    <row r="5416">
      <c r="A5416">
        <f>HYPERLINK("https://www.youtube.com/watch?v=rPaJrYbjreo", "Video")</f>
        <v/>
      </c>
      <c r="B5416" t="inlineStr">
        <is>
          <t>1:31</t>
        </is>
      </c>
      <c r="C5416" t="inlineStr">
        <is>
          <t>driver. Usually this is for longer</t>
        </is>
      </c>
      <c r="D5416">
        <f>HYPERLINK("https://www.youtube.com/watch?v=rPaJrYbjreo&amp;t=91s", "Go to time")</f>
        <v/>
      </c>
    </row>
    <row r="5417">
      <c r="A5417">
        <f>HYPERLINK("https://www.youtube.com/watch?v=5YO0oLuVU7w", "Video")</f>
        <v/>
      </c>
      <c r="B5417" t="inlineStr">
        <is>
          <t>1:28</t>
        </is>
      </c>
      <c r="C5417" t="inlineStr">
        <is>
          <t>after a delivery driver struck
another vehicle resulting</t>
        </is>
      </c>
      <c r="D5417">
        <f>HYPERLINK("https://www.youtube.com/watch?v=5YO0oLuVU7w&amp;t=88s", "Go to time")</f>
        <v/>
      </c>
    </row>
    <row r="5418">
      <c r="A5418">
        <f>HYPERLINK("https://www.youtube.com/watch?v=5YO0oLuVU7w", "Video")</f>
        <v/>
      </c>
      <c r="B5418" t="inlineStr">
        <is>
          <t>4:00</t>
        </is>
      </c>
      <c r="C5418" t="inlineStr">
        <is>
          <t>as drivers leave pizza for
apps with more flexible hours.</t>
        </is>
      </c>
      <c r="D5418">
        <f>HYPERLINK("https://www.youtube.com/watch?v=5YO0oLuVU7w&amp;t=240s", "Go to time")</f>
        <v/>
      </c>
    </row>
    <row r="5419">
      <c r="A5419">
        <f>HYPERLINK("https://www.youtube.com/watch?v=5YO0oLuVU7w", "Video")</f>
        <v/>
      </c>
      <c r="B5419" t="inlineStr">
        <is>
          <t>4:05</t>
        </is>
      </c>
      <c r="C5419" t="inlineStr">
        <is>
          <t>to an industry-wide
delivery driver shortage.</t>
        </is>
      </c>
      <c r="D5419">
        <f>HYPERLINK("https://www.youtube.com/watch?v=5YO0oLuVU7w&amp;t=245s", "Go to time")</f>
        <v/>
      </c>
    </row>
    <row r="5420">
      <c r="A5420">
        <f>HYPERLINK("https://www.youtube.com/watch?v=5YO0oLuVU7w", "Video")</f>
        <v/>
      </c>
      <c r="B5420" t="inlineStr">
        <is>
          <t>4:38</t>
        </is>
      </c>
      <c r="C5420" t="inlineStr">
        <is>
          <t>of electric delivery vehicles
to recruit new drivers</t>
        </is>
      </c>
      <c r="D5420">
        <f>HYPERLINK("https://www.youtube.com/watch?v=5YO0oLuVU7w&amp;t=278s", "Go to time")</f>
        <v/>
      </c>
    </row>
    <row r="5421">
      <c r="A5421">
        <f>HYPERLINK("https://www.youtube.com/watch?v=IVWQA5jxANk", "Video")</f>
        <v/>
      </c>
      <c r="B5421" t="inlineStr">
        <is>
          <t>1:18</t>
        </is>
      </c>
      <c r="C5421" t="inlineStr">
        <is>
          <t>just as that truck drives by,</t>
        </is>
      </c>
      <c r="D5421">
        <f>HYPERLINK("https://www.youtube.com/watch?v=IVWQA5jxANk&amp;t=78s", "Go to time")</f>
        <v/>
      </c>
    </row>
    <row r="5422">
      <c r="A5422">
        <f>HYPERLINK("https://www.youtube.com/watch?v=tfPZ8tlUnBc", "Video")</f>
        <v/>
      </c>
      <c r="B5422" t="inlineStr">
        <is>
          <t>4:18</t>
        </is>
      </c>
      <c r="C5422" t="inlineStr">
        <is>
          <t>were in position to drive
the Permian to new heights.</t>
        </is>
      </c>
      <c r="D5422">
        <f>HYPERLINK("https://www.youtube.com/watch?v=tfPZ8tlUnBc&amp;t=258s", "Go to time")</f>
        <v/>
      </c>
    </row>
    <row r="5423">
      <c r="A5423">
        <f>HYPERLINK("https://www.youtube.com/watch?v=kfui1aSKDvE", "Video")</f>
        <v/>
      </c>
      <c r="B5423" t="inlineStr">
        <is>
          <t>0:23</t>
        </is>
      </c>
      <c r="C5423" t="inlineStr">
        <is>
          <t>night Mr wilborne and the driver of the</t>
        </is>
      </c>
      <c r="D5423">
        <f>HYPERLINK("https://www.youtube.com/watch?v=kfui1aSKDvE&amp;t=23s", "Go to time")</f>
        <v/>
      </c>
    </row>
    <row r="5424">
      <c r="A5424">
        <f>HYPERLINK("https://www.youtube.com/watch?v=kfui1aSKDvE", "Video")</f>
        <v/>
      </c>
      <c r="B5424" t="inlineStr">
        <is>
          <t>0:26</t>
        </is>
      </c>
      <c r="C5424" t="inlineStr">
        <is>
          <t>car ran away the driver later turned</t>
        </is>
      </c>
      <c r="D5424">
        <f>HYPERLINK("https://www.youtube.com/watch?v=kfui1aSKDvE&amp;t=26s", "Go to time")</f>
        <v/>
      </c>
    </row>
    <row r="5425">
      <c r="A5425">
        <f>HYPERLINK("https://www.youtube.com/watch?v=7jI_eEThKB0", "Video")</f>
        <v/>
      </c>
      <c r="B5425" t="inlineStr">
        <is>
          <t>1:41</t>
        </is>
      </c>
      <c r="C5425" t="inlineStr">
        <is>
          <t>electric vehicle that drives us</t>
        </is>
      </c>
      <c r="D5425">
        <f>HYPERLINK("https://www.youtube.com/watch?v=7jI_eEThKB0&amp;t=101s", "Go to time")</f>
        <v/>
      </c>
    </row>
    <row r="5426">
      <c r="A5426">
        <f>HYPERLINK("https://www.youtube.com/watch?v=1D9BSkIwuDk", "Video")</f>
        <v/>
      </c>
      <c r="B5426" t="inlineStr">
        <is>
          <t>0:11</t>
        </is>
      </c>
      <c r="C5426" t="inlineStr">
        <is>
          <t>he went bust oh dear out in the driveway</t>
        </is>
      </c>
      <c r="D5426">
        <f>HYPERLINK("https://www.youtube.com/watch?v=1D9BSkIwuDk&amp;t=11s", "Go to time")</f>
        <v/>
      </c>
    </row>
    <row r="5427">
      <c r="A5427">
        <f>HYPERLINK("https://www.youtube.com/watch?v=-0HnOW4X8CU", "Video")</f>
        <v/>
      </c>
      <c r="B5427" t="inlineStr">
        <is>
          <t>0:09</t>
        </is>
      </c>
      <c r="C5427" t="inlineStr">
        <is>
          <t>Israeli history with an agenda driven by</t>
        </is>
      </c>
      <c r="D5427">
        <f>HYPERLINK("https://www.youtube.com/watch?v=-0HnOW4X8CU&amp;t=9s", "Go to time")</f>
        <v/>
      </c>
    </row>
    <row r="5428">
      <c r="A5428">
        <f>HYPERLINK("https://www.youtube.com/watch?v=MP5T_VnwLxE", "Video")</f>
        <v/>
      </c>
      <c r="B5428" t="inlineStr">
        <is>
          <t>0:23</t>
        </is>
      </c>
      <c r="C5428" t="inlineStr">
        <is>
          <t>from other drivers in May Google a unit</t>
        </is>
      </c>
      <c r="D5428">
        <f>HYPERLINK("https://www.youtube.com/watch?v=MP5T_VnwLxE&amp;t=23s", "Go to time")</f>
        <v/>
      </c>
    </row>
    <row r="5429">
      <c r="A5429">
        <f>HYPERLINK("https://www.youtube.com/watch?v=MP5T_VnwLxE", "Video")</f>
        <v/>
      </c>
      <c r="B5429" t="inlineStr">
        <is>
          <t>1:06</t>
        </is>
      </c>
      <c r="C5429" t="inlineStr">
        <is>
          <t>sign up to be a rider or driver under</t>
        </is>
      </c>
      <c r="D5429">
        <f>HYPERLINK("https://www.youtube.com/watch?v=MP5T_VnwLxE&amp;t=66s", "Go to time")</f>
        <v/>
      </c>
    </row>
    <row r="5430">
      <c r="A5430">
        <f>HYPERLINK("https://www.youtube.com/watch?v=MP5T_VnwLxE", "Video")</f>
        <v/>
      </c>
      <c r="B5430" t="inlineStr">
        <is>
          <t>1:12</t>
        </is>
      </c>
      <c r="C5430" t="inlineStr">
        <is>
          <t>work and Riders pay drivers about 54</t>
        </is>
      </c>
      <c r="D5430">
        <f>HYPERLINK("https://www.youtube.com/watch?v=MP5T_VnwLxE&amp;t=72s", "Go to time")</f>
        <v/>
      </c>
    </row>
    <row r="5431">
      <c r="A5431">
        <f>HYPERLINK("https://www.youtube.com/watch?v=MP5T_VnwLxE", "Video")</f>
        <v/>
      </c>
      <c r="B5431" t="inlineStr">
        <is>
          <t>1:20</t>
        </is>
      </c>
      <c r="C5431" t="inlineStr">
        <is>
          <t>vet drivers for a way service Instead</t>
        </is>
      </c>
      <c r="D5431">
        <f>HYPERLINK("https://www.youtube.com/watch?v=MP5T_VnwLxE&amp;t=80s", "Go to time")</f>
        <v/>
      </c>
    </row>
    <row r="5432">
      <c r="A5432">
        <f>HYPERLINK("https://www.youtube.com/watch?v=MP5T_VnwLxE", "Video")</f>
        <v/>
      </c>
      <c r="B5432" t="inlineStr">
        <is>
          <t>1:24</t>
        </is>
      </c>
      <c r="C5432" t="inlineStr">
        <is>
          <t>reviews to weed out problem drivers like</t>
        </is>
      </c>
      <c r="D5432">
        <f>HYPERLINK("https://www.youtube.com/watch?v=MP5T_VnwLxE&amp;t=84s", "Go to time")</f>
        <v/>
      </c>
    </row>
    <row r="5433">
      <c r="A5433">
        <f>HYPERLINK("https://www.youtube.com/watch?v=MP5T_VnwLxE", "Video")</f>
        <v/>
      </c>
      <c r="B5433" t="inlineStr">
        <is>
          <t>1:27</t>
        </is>
      </c>
      <c r="C5433" t="inlineStr">
        <is>
          <t>uber and Lyft Way's drivers are not</t>
        </is>
      </c>
      <c r="D5433">
        <f>HYPERLINK("https://www.youtube.com/watch?v=MP5T_VnwLxE&amp;t=87s", "Go to time")</f>
        <v/>
      </c>
    </row>
    <row r="5434">
      <c r="A5434">
        <f>HYPERLINK("https://www.youtube.com/watch?v=MP5T_VnwLxE", "Video")</f>
        <v/>
      </c>
      <c r="B5434" t="inlineStr">
        <is>
          <t>2:01</t>
        </is>
      </c>
      <c r="C5434" t="inlineStr">
        <is>
          <t>racing to develop driverless cars and</t>
        </is>
      </c>
      <c r="D5434">
        <f>HYPERLINK("https://www.youtube.com/watch?v=MP5T_VnwLxE&amp;t=121s", "Go to time")</f>
        <v/>
      </c>
    </row>
    <row r="5435">
      <c r="A5435">
        <f>HYPERLINK("https://www.youtube.com/watch?v=MP5T_VnwLxE", "Video")</f>
        <v/>
      </c>
      <c r="B5435" t="inlineStr">
        <is>
          <t>2:15</t>
        </is>
      </c>
      <c r="C5435" t="inlineStr">
        <is>
          <t>sharing and driverless Tech begin</t>
        </is>
      </c>
      <c r="D5435">
        <f>HYPERLINK("https://www.youtube.com/watch?v=MP5T_VnwLxE&amp;t=135s", "Go to time")</f>
        <v/>
      </c>
    </row>
    <row r="5436">
      <c r="A5436">
        <f>HYPERLINK("https://www.youtube.com/watch?v=OQ5LnY21Hgc", "Video")</f>
        <v/>
      </c>
      <c r="B5436" t="inlineStr">
        <is>
          <t>1:21</t>
        </is>
      </c>
      <c r="C5436" t="inlineStr">
        <is>
          <t>go to a market when you drive a car when</t>
        </is>
      </c>
      <c r="D5436">
        <f>HYPERLINK("https://www.youtube.com/watch?v=OQ5LnY21Hgc&amp;t=81s", "Go to time")</f>
        <v/>
      </c>
    </row>
    <row r="5437">
      <c r="A5437">
        <f>HYPERLINK("https://www.youtube.com/watch?v=qfhh8s65lp4", "Video")</f>
        <v/>
      </c>
      <c r="B5437" t="inlineStr">
        <is>
          <t>3:56</t>
        </is>
      </c>
      <c r="C5437" t="inlineStr">
        <is>
          <t>it could drive costs up
for these automakers.</t>
        </is>
      </c>
      <c r="D5437">
        <f>HYPERLINK("https://www.youtube.com/watch?v=qfhh8s65lp4&amp;t=236s", "Go to time")</f>
        <v/>
      </c>
    </row>
    <row r="5438">
      <c r="A5438">
        <f>HYPERLINK("https://www.youtube.com/watch?v=UdOxt11ofjQ", "Video")</f>
        <v/>
      </c>
      <c r="B5438" t="inlineStr">
        <is>
          <t>0:21</t>
        </is>
      </c>
      <c r="C5438" t="inlineStr">
        <is>
          <t>But new vehicles that won't
have anyone in the driver's seat</t>
        </is>
      </c>
      <c r="D5438">
        <f>HYPERLINK("https://www.youtube.com/watch?v=UdOxt11ofjQ&amp;t=21s", "Go to time")</f>
        <v/>
      </c>
    </row>
    <row r="5439">
      <c r="A5439">
        <f>HYPERLINK("https://www.youtube.com/watch?v=UdOxt11ofjQ", "Video")</f>
        <v/>
      </c>
      <c r="B5439" t="inlineStr">
        <is>
          <t>0:29</t>
        </is>
      </c>
      <c r="C5439" t="inlineStr">
        <is>
          <t>are already testing driverless tech</t>
        </is>
      </c>
      <c r="D5439">
        <f>HYPERLINK("https://www.youtube.com/watch?v=UdOxt11ofjQ&amp;t=29s", "Go to time")</f>
        <v/>
      </c>
    </row>
    <row r="5440">
      <c r="A5440">
        <f>HYPERLINK("https://www.youtube.com/watch?v=UdOxt11ofjQ", "Video")</f>
        <v/>
      </c>
      <c r="B5440" t="inlineStr">
        <is>
          <t>0:40</t>
        </is>
      </c>
      <c r="C5440" t="inlineStr">
        <is>
          <t>- We see us becoming
fully driverless in 2024.</t>
        </is>
      </c>
      <c r="D5440">
        <f>HYPERLINK("https://www.youtube.com/watch?v=UdOxt11ofjQ&amp;t=40s", "Go to time")</f>
        <v/>
      </c>
    </row>
    <row r="5441">
      <c r="A5441">
        <f>HYPERLINK("https://www.youtube.com/watch?v=UdOxt11ofjQ", "Video")</f>
        <v/>
      </c>
      <c r="B5441" t="inlineStr">
        <is>
          <t>1:36</t>
        </is>
      </c>
      <c r="C5441" t="inlineStr">
        <is>
          <t>that the driver has to be there,
they have to pay attention.</t>
        </is>
      </c>
      <c r="D5441">
        <f>HYPERLINK("https://www.youtube.com/watch?v=UdOxt11ofjQ&amp;t=96s", "Go to time")</f>
        <v/>
      </c>
    </row>
    <row r="5442">
      <c r="A5442">
        <f>HYPERLINK("https://www.youtube.com/watch?v=UdOxt11ofjQ", "Video")</f>
        <v/>
      </c>
      <c r="B5442" t="inlineStr">
        <is>
          <t>2:10</t>
        </is>
      </c>
      <c r="C5442" t="inlineStr">
        <is>
          <t>Which is where the car
doesn't need a driver</t>
        </is>
      </c>
      <c r="D5442">
        <f>HYPERLINK("https://www.youtube.com/watch?v=UdOxt11ofjQ&amp;t=130s", "Go to time")</f>
        <v/>
      </c>
    </row>
    <row r="5443">
      <c r="A5443">
        <f>HYPERLINK("https://www.youtube.com/watch?v=UdOxt11ofjQ", "Video")</f>
        <v/>
      </c>
      <c r="B5443" t="inlineStr">
        <is>
          <t>2:39</t>
        </is>
      </c>
      <c r="C5443" t="inlineStr">
        <is>
          <t>Think ride-hailing without the driver.</t>
        </is>
      </c>
      <c r="D5443">
        <f>HYPERLINK("https://www.youtube.com/watch?v=UdOxt11ofjQ&amp;t=159s", "Go to time")</f>
        <v/>
      </c>
    </row>
    <row r="5444">
      <c r="A5444">
        <f>HYPERLINK("https://www.youtube.com/watch?v=UdOxt11ofjQ", "Video")</f>
        <v/>
      </c>
      <c r="B5444" t="inlineStr">
        <is>
          <t>2:52</t>
        </is>
      </c>
      <c r="C5444" t="inlineStr">
        <is>
          <t>Waymo began removing support drivers</t>
        </is>
      </c>
      <c r="D5444">
        <f>HYPERLINK("https://www.youtube.com/watch?v=UdOxt11ofjQ&amp;t=172s", "Go to time")</f>
        <v/>
      </c>
    </row>
    <row r="5445">
      <c r="A5445">
        <f>HYPERLINK("https://www.youtube.com/watch?v=UdOxt11ofjQ", "Video")</f>
        <v/>
      </c>
      <c r="B5445" t="inlineStr">
        <is>
          <t>3:35</t>
        </is>
      </c>
      <c r="C5445" t="inlineStr">
        <is>
          <t>- Miles driven absolutely matters</t>
        </is>
      </c>
      <c r="D5445">
        <f>HYPERLINK("https://www.youtube.com/watch?v=UdOxt11ofjQ&amp;t=215s", "Go to time")</f>
        <v/>
      </c>
    </row>
    <row r="5446">
      <c r="A5446">
        <f>HYPERLINK("https://www.youtube.com/watch?v=UdOxt11ofjQ", "Video")</f>
        <v/>
      </c>
      <c r="B5446" t="inlineStr">
        <is>
          <t>3:43</t>
        </is>
      </c>
      <c r="C5446" t="inlineStr">
        <is>
          <t>interacting with other
human-driven vehicles.</t>
        </is>
      </c>
      <c r="D5446">
        <f>HYPERLINK("https://www.youtube.com/watch?v=UdOxt11ofjQ&amp;t=223s", "Go to time")</f>
        <v/>
      </c>
    </row>
    <row r="5447">
      <c r="A5447">
        <f>HYPERLINK("https://www.youtube.com/watch?v=UdOxt11ofjQ", "Video")</f>
        <v/>
      </c>
      <c r="B5447" t="inlineStr">
        <is>
          <t>3:55</t>
        </is>
      </c>
      <c r="C5447" t="inlineStr">
        <is>
          <t>to remove the support driver</t>
        </is>
      </c>
      <c r="D5447">
        <f>HYPERLINK("https://www.youtube.com/watch?v=UdOxt11ofjQ&amp;t=235s", "Go to time")</f>
        <v/>
      </c>
    </row>
    <row r="5448">
      <c r="A5448">
        <f>HYPERLINK("https://www.youtube.com/watch?v=UdOxt11ofjQ", "Video")</f>
        <v/>
      </c>
      <c r="B5448" t="inlineStr">
        <is>
          <t>4:33</t>
        </is>
      </c>
      <c r="C5448" t="inlineStr">
        <is>
          <t>on highways in the Southwest
with support drivers.</t>
        </is>
      </c>
      <c r="D5448">
        <f>HYPERLINK("https://www.youtube.com/watch?v=UdOxt11ofjQ&amp;t=273s", "Go to time")</f>
        <v/>
      </c>
    </row>
    <row r="5449">
      <c r="A5449">
        <f>HYPERLINK("https://www.youtube.com/watch?v=UdOxt11ofjQ", "Video")</f>
        <v/>
      </c>
      <c r="B5449" t="inlineStr">
        <is>
          <t>4:35</t>
        </is>
      </c>
      <c r="C5449" t="inlineStr">
        <is>
          <t>It was the first driverless
company in the US</t>
        </is>
      </c>
      <c r="D5449">
        <f>HYPERLINK("https://www.youtube.com/watch?v=UdOxt11ofjQ&amp;t=275s", "Go to time")</f>
        <v/>
      </c>
    </row>
    <row r="5450">
      <c r="A5450">
        <f>HYPERLINK("https://www.youtube.com/watch?v=UdOxt11ofjQ", "Video")</f>
        <v/>
      </c>
      <c r="B5450" t="inlineStr">
        <is>
          <t>4:42</t>
        </is>
      </c>
      <c r="C5450" t="inlineStr">
        <is>
          <t>- In the US alone, 60,000
driver shortages this year</t>
        </is>
      </c>
      <c r="D5450">
        <f>HYPERLINK("https://www.youtube.com/watch?v=UdOxt11ofjQ&amp;t=282s", "Go to time")</f>
        <v/>
      </c>
    </row>
    <row r="5451">
      <c r="A5451">
        <f>HYPERLINK("https://www.youtube.com/watch?v=UdOxt11ofjQ", "Video")</f>
        <v/>
      </c>
      <c r="B5451" t="inlineStr">
        <is>
          <t>6:56</t>
        </is>
      </c>
      <c r="C5451" t="inlineStr">
        <is>
          <t>at half the rate of human drivers,</t>
        </is>
      </c>
      <c r="D5451">
        <f>HYPERLINK("https://www.youtube.com/watch?v=UdOxt11ofjQ&amp;t=416s", "Go to time")</f>
        <v/>
      </c>
    </row>
    <row r="5452">
      <c r="A5452">
        <f>HYPERLINK("https://www.youtube.com/watch?v=UdOxt11ofjQ", "Video")</f>
        <v/>
      </c>
      <c r="B5452" t="inlineStr">
        <is>
          <t>7:04</t>
        </is>
      </c>
      <c r="C5452" t="inlineStr">
        <is>
          <t>if that happens or is caused
by another human driver.</t>
        </is>
      </c>
      <c r="D5452">
        <f>HYPERLINK("https://www.youtube.com/watch?v=UdOxt11ofjQ&amp;t=424s", "Go to time")</f>
        <v/>
      </c>
    </row>
    <row r="5453">
      <c r="A5453">
        <f>HYPERLINK("https://www.youtube.com/watch?v=UdOxt11ofjQ", "Video")</f>
        <v/>
      </c>
      <c r="B5453" t="inlineStr">
        <is>
          <t>7:33</t>
        </is>
      </c>
      <c r="C5453" t="inlineStr">
        <is>
          <t>- Sure, we've got disengagements,
we've got miles driven,</t>
        </is>
      </c>
      <c r="D5453">
        <f>HYPERLINK("https://www.youtube.com/watch?v=UdOxt11ofjQ&amp;t=453s", "Go to time")</f>
        <v/>
      </c>
    </row>
    <row r="5454">
      <c r="A5454">
        <f>HYPERLINK("https://www.youtube.com/watch?v=UdOxt11ofjQ", "Video")</f>
        <v/>
      </c>
      <c r="B5454" t="inlineStr">
        <is>
          <t>7:38</t>
        </is>
      </c>
      <c r="C5454" t="inlineStr">
        <is>
          <t>and we can relate that to human drivers,</t>
        </is>
      </c>
      <c r="D5454">
        <f>HYPERLINK("https://www.youtube.com/watch?v=UdOxt11ofjQ&amp;t=458s", "Go to time")</f>
        <v/>
      </c>
    </row>
    <row r="5455">
      <c r="A5455">
        <f>HYPERLINK("https://www.youtube.com/watch?v=aMQl0wCN6Yk", "Video")</f>
        <v/>
      </c>
      <c r="B5455" t="inlineStr">
        <is>
          <t>5:29</t>
        </is>
      </c>
      <c r="C5455" t="inlineStr">
        <is>
          <t>Cheyenne must endure long drives in</t>
        </is>
      </c>
      <c r="D5455">
        <f>HYPERLINK("https://www.youtube.com/watch?v=aMQl0wCN6Yk&amp;t=329s", "Go to time")</f>
        <v/>
      </c>
    </row>
    <row r="5456">
      <c r="A5456">
        <f>HYPERLINK("https://www.youtube.com/watch?v=TIK0TNMHzx0", "Video")</f>
        <v/>
      </c>
      <c r="B5456" t="inlineStr">
        <is>
          <t>0:52</t>
        </is>
      </c>
      <c r="C5456" t="inlineStr">
        <is>
          <t>drivetrain intruding into the cabin and</t>
        </is>
      </c>
      <c r="D5456">
        <f>HYPERLINK("https://www.youtube.com/watch?v=TIK0TNMHzx0&amp;t=52s", "Go to time")</f>
        <v/>
      </c>
    </row>
    <row r="5457">
      <c r="A5457">
        <f>HYPERLINK("https://www.youtube.com/watch?v=TIK0TNMHzx0", "Video")</f>
        <v/>
      </c>
      <c r="B5457" t="inlineStr">
        <is>
          <t>1:11</t>
        </is>
      </c>
      <c r="C5457" t="inlineStr">
        <is>
          <t>absolutely when you're ready to drive</t>
        </is>
      </c>
      <c r="D5457">
        <f>HYPERLINK("https://www.youtube.com/watch?v=TIK0TNMHzx0&amp;t=71s", "Go to time")</f>
        <v/>
      </c>
    </row>
    <row r="5458">
      <c r="A5458">
        <f>HYPERLINK("https://www.youtube.com/watch?v=0kRcB9PuXxQ", "Video")</f>
        <v/>
      </c>
      <c r="B5458" t="inlineStr">
        <is>
          <t>2:08</t>
        </is>
      </c>
      <c r="C5458" t="inlineStr">
        <is>
          <t>like a driver's license or
voter identification card</t>
        </is>
      </c>
      <c r="D5458">
        <f>HYPERLINK("https://www.youtube.com/watch?v=0kRcB9PuXxQ&amp;t=128s", "Go to time")</f>
        <v/>
      </c>
    </row>
    <row r="5459">
      <c r="A5459">
        <f>HYPERLINK("https://www.youtube.com/watch?v=cdU3EMz9T30", "Video")</f>
        <v/>
      </c>
      <c r="B5459" t="inlineStr">
        <is>
          <t>2:21</t>
        </is>
      </c>
      <c r="C5459" t="inlineStr">
        <is>
          <t>like Google Drive or Evernote and they</t>
        </is>
      </c>
      <c r="D5459">
        <f>HYPERLINK("https://www.youtube.com/watch?v=cdU3EMz9T30&amp;t=141s", "Go to time")</f>
        <v/>
      </c>
    </row>
    <row r="5460">
      <c r="A5460">
        <f>HYPERLINK("https://www.youtube.com/watch?v=cdU3EMz9T30", "Video")</f>
        <v/>
      </c>
      <c r="B5460" t="inlineStr">
        <is>
          <t>2:51</t>
        </is>
      </c>
      <c r="C5460" t="inlineStr">
        <is>
          <t>Drive or Dropbox or Evernote or wherever</t>
        </is>
      </c>
      <c r="D5460">
        <f>HYPERLINK("https://www.youtube.com/watch?v=cdU3EMz9T30&amp;t=171s", "Go to time")</f>
        <v/>
      </c>
    </row>
    <row r="5461">
      <c r="A5461">
        <f>HYPERLINK("https://www.youtube.com/watch?v=TUVksit9HzQ", "Video")</f>
        <v/>
      </c>
      <c r="B5461" t="inlineStr">
        <is>
          <t>0:49</t>
        </is>
      </c>
      <c r="C5461" t="inlineStr">
        <is>
          <t>drive to the batacan</t>
        </is>
      </c>
      <c r="D5461">
        <f>HYPERLINK("https://www.youtube.com/watch?v=TUVksit9HzQ&amp;t=49s", "Go to time")</f>
        <v/>
      </c>
    </row>
    <row r="5462">
      <c r="A5462">
        <f>HYPERLINK("https://www.youtube.com/watch?v=MzLQufpiegk", "Video")</f>
        <v/>
      </c>
      <c r="B5462" t="inlineStr">
        <is>
          <t>0:22</t>
        </is>
      </c>
      <c r="C5462" t="inlineStr">
        <is>
          <t>- [Narrator] Ron Vachris
was first a forklift driver</t>
        </is>
      </c>
      <c r="D5462">
        <f>HYPERLINK("https://www.youtube.com/watch?v=MzLQufpiegk&amp;t=22s", "Go to time")</f>
        <v/>
      </c>
    </row>
    <row r="5463">
      <c r="A5463">
        <f>HYPERLINK("https://www.youtube.com/watch?v=MzLQufpiegk", "Video")</f>
        <v/>
      </c>
      <c r="B5463" t="inlineStr">
        <is>
          <t>2:37</t>
        </is>
      </c>
      <c r="C5463" t="inlineStr">
        <is>
          <t>so it drives a lot of sales,</t>
        </is>
      </c>
      <c r="D5463">
        <f>HYPERLINK("https://www.youtube.com/watch?v=MzLQufpiegk&amp;t=157s", "Go to time")</f>
        <v/>
      </c>
    </row>
    <row r="5464">
      <c r="A5464">
        <f>HYPERLINK("https://www.youtube.com/watch?v=C13b86PXWPg", "Video")</f>
        <v/>
      </c>
      <c r="B5464" t="inlineStr">
        <is>
          <t>0:29</t>
        </is>
      </c>
      <c r="C5464" t="inlineStr">
        <is>
          <t>are designed to keep drivers
safe in the mountains.</t>
        </is>
      </c>
      <c r="D5464">
        <f>HYPERLINK("https://www.youtube.com/watch?v=C13b86PXWPg&amp;t=29s", "Go to time")</f>
        <v/>
      </c>
    </row>
    <row r="5465">
      <c r="A5465">
        <f>HYPERLINK("https://www.youtube.com/watch?v=C13b86PXWPg", "Video")</f>
        <v/>
      </c>
      <c r="B5465" t="inlineStr">
        <is>
          <t>1:35</t>
        </is>
      </c>
      <c r="C5465" t="inlineStr">
        <is>
          <t>And these things are pretty
imperceptible to the driver.</t>
        </is>
      </c>
      <c r="D5465">
        <f>HYPERLINK("https://www.youtube.com/watch?v=C13b86PXWPg&amp;t=95s", "Go to time")</f>
        <v/>
      </c>
    </row>
    <row r="5466">
      <c r="A5466">
        <f>HYPERLINK("https://www.youtube.com/watch?v=C13b86PXWPg", "Video")</f>
        <v/>
      </c>
      <c r="B5466" t="inlineStr">
        <is>
          <t>2:17</t>
        </is>
      </c>
      <c r="C5466" t="inlineStr">
        <is>
          <t>- So, as you're entering
a curve as a driver,</t>
        </is>
      </c>
      <c r="D5466">
        <f>HYPERLINK("https://www.youtube.com/watch?v=C13b86PXWPg&amp;t=137s", "Go to time")</f>
        <v/>
      </c>
    </row>
    <row r="5467">
      <c r="A5467">
        <f>HYPERLINK("https://www.youtube.com/watch?v=1Xe8qimmtt0", "Video")</f>
        <v/>
      </c>
      <c r="B5467" t="inlineStr">
        <is>
          <t>2:27</t>
        </is>
      </c>
      <c r="C5467" t="inlineStr">
        <is>
          <t>This was driven in part by
consumers preferring bralettes,</t>
        </is>
      </c>
      <c r="D5467">
        <f>HYPERLINK("https://www.youtube.com/watch?v=1Xe8qimmtt0&amp;t=147s", "Go to time")</f>
        <v/>
      </c>
    </row>
    <row r="5468">
      <c r="A5468">
        <f>HYPERLINK("https://www.youtube.com/watch?v=WudfQUD6fKk", "Video")</f>
        <v/>
      </c>
      <c r="B5468" t="inlineStr">
        <is>
          <t>0:14</t>
        </is>
      </c>
      <c r="C5468" t="inlineStr">
        <is>
          <t>should coffee drinking drivers end up in</t>
        </is>
      </c>
      <c r="D5468">
        <f>HYPERLINK("https://www.youtube.com/watch?v=WudfQUD6fKk&amp;t=14s", "Go to time")</f>
        <v/>
      </c>
    </row>
    <row r="5469">
      <c r="A5469">
        <f>HYPERLINK("https://www.youtube.com/watch?v=WudfQUD6fKk", "Video")</f>
        <v/>
      </c>
      <c r="B5469" t="inlineStr">
        <is>
          <t>0:21</t>
        </is>
      </c>
      <c r="C5469" t="inlineStr">
        <is>
          <t>bill targeting distracted drivers says</t>
        </is>
      </c>
      <c r="D5469">
        <f>HYPERLINK("https://www.youtube.com/watch?v=WudfQUD6fKk&amp;t=21s", "Go to time")</f>
        <v/>
      </c>
    </row>
    <row r="5470">
      <c r="A5470">
        <f>HYPERLINK("https://www.youtube.com/watch?v=WudfQUD6fKk", "Video")</f>
        <v/>
      </c>
      <c r="B5470" t="inlineStr">
        <is>
          <t>0:30</t>
        </is>
      </c>
      <c r="C5470" t="inlineStr">
        <is>
          <t>dangers for drivers Democratic assembly</t>
        </is>
      </c>
      <c r="D5470">
        <f>HYPERLINK("https://www.youtube.com/watch?v=WudfQUD6fKk&amp;t=30s", "Go to time")</f>
        <v/>
      </c>
    </row>
    <row r="5471">
      <c r="A5471">
        <f>HYPERLINK("https://www.youtube.com/watch?v=S_G4Nqo36lI", "Video")</f>
        <v/>
      </c>
      <c r="B5471" t="inlineStr">
        <is>
          <t>5:44</t>
        </is>
      </c>
      <c r="C5471" t="inlineStr">
        <is>
          <t>Technology Drive their Futures</t>
        </is>
      </c>
      <c r="D5471">
        <f>HYPERLINK("https://www.youtube.com/watch?v=S_G4Nqo36lI&amp;t=344s", "Go to time")</f>
        <v/>
      </c>
    </row>
    <row r="5472">
      <c r="A5472">
        <f>HYPERLINK("https://www.youtube.com/watch?v=TqWzZ_OeMHE", "Video")</f>
        <v/>
      </c>
      <c r="B5472" t="inlineStr">
        <is>
          <t>1:56</t>
        </is>
      </c>
      <c r="C5472" t="inlineStr">
        <is>
          <t>drive-through banking</t>
        </is>
      </c>
      <c r="D5472">
        <f>HYPERLINK("https://www.youtube.com/watch?v=TqWzZ_OeMHE&amp;t=116s", "Go to time")</f>
        <v/>
      </c>
    </row>
    <row r="5473">
      <c r="A5473">
        <f>HYPERLINK("https://www.youtube.com/watch?v=h9TQ6kdkCaI", "Video")</f>
        <v/>
      </c>
      <c r="B5473" t="inlineStr">
        <is>
          <t>0:00</t>
        </is>
      </c>
      <c r="C5473" t="inlineStr">
        <is>
          <t>pretty soon driverless cars could be</t>
        </is>
      </c>
      <c r="D5473">
        <f>HYPERLINK("https://www.youtube.com/watch?v=h9TQ6kdkCaI&amp;t=0s", "Go to time")</f>
        <v/>
      </c>
    </row>
    <row r="5474">
      <c r="A5474">
        <f>HYPERLINK("https://www.youtube.com/watch?v=h9TQ6kdkCaI", "Video")</f>
        <v/>
      </c>
      <c r="B5474" t="inlineStr">
        <is>
          <t>0:09</t>
        </is>
      </c>
      <c r="C5474" t="inlineStr">
        <is>
          <t>legally qualify as the driver of the car</t>
        </is>
      </c>
      <c r="D5474">
        <f>HYPERLINK("https://www.youtube.com/watch?v=h9TQ6kdkCaI&amp;t=9s", "Go to time")</f>
        <v/>
      </c>
    </row>
    <row r="5475">
      <c r="A5475">
        <f>HYPERLINK("https://www.youtube.com/watch?v=h9TQ6kdkCaI", "Video")</f>
        <v/>
      </c>
      <c r="B5475" t="inlineStr">
        <is>
          <t>0:18</t>
        </is>
      </c>
      <c r="C5475" t="inlineStr">
        <is>
          <t>doesn't require a human driver and with</t>
        </is>
      </c>
      <c r="D5475">
        <f>HYPERLINK("https://www.youtube.com/watch?v=h9TQ6kdkCaI&amp;t=18s", "Go to time")</f>
        <v/>
      </c>
    </row>
    <row r="5476">
      <c r="A5476">
        <f>HYPERLINK("https://www.youtube.com/watch?v=h9TQ6kdkCaI", "Video")</f>
        <v/>
      </c>
      <c r="B5476" t="inlineStr">
        <is>
          <t>0:21</t>
        </is>
      </c>
      <c r="C5476" t="inlineStr">
        <is>
          <t>a computer as the driver Google could</t>
        </is>
      </c>
      <c r="D5476">
        <f>HYPERLINK("https://www.youtube.com/watch?v=h9TQ6kdkCaI&amp;t=21s", "Go to time")</f>
        <v/>
      </c>
    </row>
    <row r="5477">
      <c r="A5477">
        <f>HYPERLINK("https://www.youtube.com/watch?v=h9TQ6kdkCaI", "Video")</f>
        <v/>
      </c>
      <c r="B5477" t="inlineStr">
        <is>
          <t>0:25</t>
        </is>
      </c>
      <c r="C5477" t="inlineStr">
        <is>
          <t>directly with the artificial driver</t>
        </is>
      </c>
      <c r="D5477">
        <f>HYPERLINK("https://www.youtube.com/watch?v=h9TQ6kdkCaI&amp;t=25s", "Go to time")</f>
        <v/>
      </c>
    </row>
    <row r="5478">
      <c r="A5478">
        <f>HYPERLINK("https://www.youtube.com/watch?v=h9TQ6kdkCaI", "Video")</f>
        <v/>
      </c>
      <c r="B5478" t="inlineStr">
        <is>
          <t>0:43</t>
        </is>
      </c>
      <c r="C5478" t="inlineStr">
        <is>
          <t>driver on board but Google expressed</t>
        </is>
      </c>
      <c r="D5478">
        <f>HYPERLINK("https://www.youtube.com/watch?v=h9TQ6kdkCaI&amp;t=43s", "Go to time")</f>
        <v/>
      </c>
    </row>
    <row r="5479">
      <c r="A5479">
        <f>HYPERLINK("https://www.youtube.com/watch?v=h9TQ6kdkCaI", "Video")</f>
        <v/>
      </c>
      <c r="B5479" t="inlineStr">
        <is>
          <t>0:54</t>
        </is>
      </c>
      <c r="C5479" t="inlineStr">
        <is>
          <t>danger to other drivers the nhtsa's</t>
        </is>
      </c>
      <c r="D5479">
        <f>HYPERLINK("https://www.youtube.com/watch?v=h9TQ6kdkCaI&amp;t=54s", "Go to time")</f>
        <v/>
      </c>
    </row>
    <row r="5480">
      <c r="A5480">
        <f>HYPERLINK("https://www.youtube.com/watch?v=h9TQ6kdkCaI", "Video")</f>
        <v/>
      </c>
      <c r="B5480" t="inlineStr">
        <is>
          <t>1:07</t>
        </is>
      </c>
      <c r="C5480" t="inlineStr">
        <is>
          <t>up the process of putting driverless</t>
        </is>
      </c>
      <c r="D5480">
        <f>HYPERLINK("https://www.youtube.com/watch?v=h9TQ6kdkCaI&amp;t=67s", "Go to time")</f>
        <v/>
      </c>
    </row>
    <row r="5481">
      <c r="A5481">
        <f>HYPERLINK("https://www.youtube.com/watch?v=h9TQ6kdkCaI", "Video")</f>
        <v/>
      </c>
      <c r="B5481" t="inlineStr">
        <is>
          <t>1:24</t>
        </is>
      </c>
      <c r="C5481" t="inlineStr">
        <is>
          <t>human driver autonomous vehicles are</t>
        </is>
      </c>
      <c r="D5481">
        <f>HYPERLINK("https://www.youtube.com/watch?v=h9TQ6kdkCaI&amp;t=84s", "Go to time")</f>
        <v/>
      </c>
    </row>
    <row r="5482">
      <c r="A5482">
        <f>HYPERLINK("https://www.youtube.com/watch?v=h9TQ6kdkCaI", "Video")</f>
        <v/>
      </c>
      <c r="B5482" t="inlineStr">
        <is>
          <t>1:30</t>
        </is>
      </c>
      <c r="C5482" t="inlineStr">
        <is>
          <t>is the sole driver like Google's is</t>
        </is>
      </c>
      <c r="D5482">
        <f>HYPERLINK("https://www.youtube.com/watch?v=h9TQ6kdkCaI&amp;t=90s", "Go to time")</f>
        <v/>
      </c>
    </row>
    <row r="5483">
      <c r="A5483">
        <f>HYPERLINK("https://www.youtube.com/watch?v=AMwEzUgr4v4", "Video")</f>
        <v/>
      </c>
      <c r="B5483" t="inlineStr">
        <is>
          <t>4:18</t>
        </is>
      </c>
      <c r="C5483" t="inlineStr">
        <is>
          <t>to these route carts, it's
ready for the driver to pick up.</t>
        </is>
      </c>
      <c r="D5483">
        <f>HYPERLINK("https://www.youtube.com/watch?v=AMwEzUgr4v4&amp;t=258s", "Go to time")</f>
        <v/>
      </c>
    </row>
    <row r="5484">
      <c r="A5484">
        <f>HYPERLINK("https://www.youtube.com/watch?v=AMwEzUgr4v4", "Video")</f>
        <v/>
      </c>
      <c r="B5484" t="inlineStr">
        <is>
          <t>4:26</t>
        </is>
      </c>
      <c r="C5484" t="inlineStr">
        <is>
          <t>The drivers are independent contractors</t>
        </is>
      </c>
      <c r="D5484">
        <f>HYPERLINK("https://www.youtube.com/watch?v=AMwEzUgr4v4&amp;t=266s", "Go to time")</f>
        <v/>
      </c>
    </row>
    <row r="5485">
      <c r="A5485">
        <f>HYPERLINK("https://www.youtube.com/watch?v=AMwEzUgr4v4", "Video")</f>
        <v/>
      </c>
      <c r="B5485" t="inlineStr">
        <is>
          <t>4:32</t>
        </is>
      </c>
      <c r="C5485" t="inlineStr">
        <is>
          <t>the garage doors open
and drivers flood in.</t>
        </is>
      </c>
      <c r="D5485">
        <f>HYPERLINK("https://www.youtube.com/watch?v=AMwEzUgr4v4&amp;t=272s", "Go to time")</f>
        <v/>
      </c>
    </row>
    <row r="5486">
      <c r="A5486">
        <f>HYPERLINK("https://www.youtube.com/watch?v=AMwEzUgr4v4", "Video")</f>
        <v/>
      </c>
      <c r="B5486" t="inlineStr">
        <is>
          <t>5:50</t>
        </is>
      </c>
      <c r="C5486" t="inlineStr">
        <is>
          <t>into a place that is
specifically designed for drivers</t>
        </is>
      </c>
      <c r="D5486">
        <f>HYPERLINK("https://www.youtube.com/watch?v=AMwEzUgr4v4&amp;t=350s", "Go to time")</f>
        <v/>
      </c>
    </row>
    <row r="5487">
      <c r="A5487">
        <f>HYPERLINK("https://www.youtube.com/watch?v=AMwEzUgr4v4", "Video")</f>
        <v/>
      </c>
      <c r="B5487" t="inlineStr">
        <is>
          <t>8:07</t>
        </is>
      </c>
      <c r="C5487" t="inlineStr">
        <is>
          <t>help us drive our sustainability goals,</t>
        </is>
      </c>
      <c r="D5487">
        <f>HYPERLINK("https://www.youtube.com/watch?v=AMwEzUgr4v4&amp;t=487s", "Go to time")</f>
        <v/>
      </c>
    </row>
    <row r="5488">
      <c r="A5488">
        <f>HYPERLINK("https://www.youtube.com/watch?v=AMwEzUgr4v4", "Video")</f>
        <v/>
      </c>
      <c r="B5488" t="inlineStr">
        <is>
          <t>8:13</t>
        </is>
      </c>
      <c r="C5488" t="inlineStr">
        <is>
          <t>and our drivers are on the road,</t>
        </is>
      </c>
      <c r="D5488">
        <f>HYPERLINK("https://www.youtube.com/watch?v=AMwEzUgr4v4&amp;t=493s", "Go to time")</f>
        <v/>
      </c>
    </row>
    <row r="5489">
      <c r="A5489">
        <f>HYPERLINK("https://www.youtube.com/watch?v=ap668oPKAUg", "Video")</f>
        <v/>
      </c>
      <c r="B5489" t="inlineStr">
        <is>
          <t>0:41</t>
        </is>
      </c>
      <c r="C5489" t="inlineStr">
        <is>
          <t>driven by facts and data, the
absence of facts and data,</t>
        </is>
      </c>
      <c r="D5489">
        <f>HYPERLINK("https://www.youtube.com/watch?v=ap668oPKAUg&amp;t=41s", "Go to time")</f>
        <v/>
      </c>
    </row>
    <row r="5490">
      <c r="A5490">
        <f>HYPERLINK("https://www.youtube.com/watch?v=ap668oPKAUg", "Video")</f>
        <v/>
      </c>
      <c r="B5490" t="inlineStr">
        <is>
          <t>31:33</t>
        </is>
      </c>
      <c r="C5490" t="inlineStr">
        <is>
          <t>So not only are we looking at
how do we continue to drive up</t>
        </is>
      </c>
      <c r="D5490">
        <f>HYPERLINK("https://www.youtube.com/watch?v=ap668oPKAUg&amp;t=1893s", "Go to time")</f>
        <v/>
      </c>
    </row>
    <row r="5491">
      <c r="A5491">
        <f>HYPERLINK("https://www.youtube.com/watch?v=ap668oPKAUg", "Video")</f>
        <v/>
      </c>
      <c r="B5491" t="inlineStr">
        <is>
          <t>39:11</t>
        </is>
      </c>
      <c r="C5491" t="inlineStr">
        <is>
          <t>- [Reporter] The drive-through,</t>
        </is>
      </c>
      <c r="D5491">
        <f>HYPERLINK("https://www.youtube.com/watch?v=ap668oPKAUg&amp;t=2351s", "Go to time")</f>
        <v/>
      </c>
    </row>
    <row r="5492">
      <c r="A5492">
        <f>HYPERLINK("https://www.youtube.com/watch?v=dakoO8WJ3mY", "Video")</f>
        <v/>
      </c>
      <c r="B5492" t="inlineStr">
        <is>
          <t>1:30</t>
        </is>
      </c>
      <c r="C5492" t="inlineStr">
        <is>
          <t>an interesting way has
been athlete driven.</t>
        </is>
      </c>
      <c r="D5492">
        <f>HYPERLINK("https://www.youtube.com/watch?v=dakoO8WJ3mY&amp;t=90s", "Go to time")</f>
        <v/>
      </c>
    </row>
    <row r="5493">
      <c r="A5493">
        <f>HYPERLINK("https://www.youtube.com/watch?v=LCmXDOWII7c", "Video")</f>
        <v/>
      </c>
      <c r="B5493" t="inlineStr">
        <is>
          <t>0:56</t>
        </is>
      </c>
      <c r="C5493" t="inlineStr">
        <is>
          <t>is really drive home that
first-mover advantage,</t>
        </is>
      </c>
      <c r="D5493">
        <f>HYPERLINK("https://www.youtube.com/watch?v=LCmXDOWII7c&amp;t=56s", "Go to time")</f>
        <v/>
      </c>
    </row>
    <row r="5494">
      <c r="A5494">
        <f>HYPERLINK("https://www.youtube.com/watch?v=_oMwg1zSNqw", "Video")</f>
        <v/>
      </c>
      <c r="B5494" t="inlineStr">
        <is>
          <t>2:27</t>
        </is>
      </c>
      <c r="C5494" t="inlineStr">
        <is>
          <t>and how far could i drive one if i left</t>
        </is>
      </c>
      <c r="D5494">
        <f>HYPERLINK("https://www.youtube.com/watch?v=_oMwg1zSNqw&amp;t=147s", "Go to time")</f>
        <v/>
      </c>
    </row>
    <row r="5495">
      <c r="A5495">
        <f>HYPERLINK("https://www.youtube.com/watch?v=_oMwg1zSNqw", "Video")</f>
        <v/>
      </c>
      <c r="B5495" t="inlineStr">
        <is>
          <t>4:04</t>
        </is>
      </c>
      <c r="C5495" t="inlineStr">
        <is>
          <t>drivers plug in less why are we not</t>
        </is>
      </c>
      <c r="D5495">
        <f>HYPERLINK("https://www.youtube.com/watch?v=_oMwg1zSNqw&amp;t=244s", "Go to time")</f>
        <v/>
      </c>
    </row>
    <row r="5496">
      <c r="A5496">
        <f>HYPERLINK("https://www.youtube.com/watch?v=JC0MWxmLvjo", "Video")</f>
        <v/>
      </c>
      <c r="B5496" t="inlineStr">
        <is>
          <t>6:03</t>
        </is>
      </c>
      <c r="C5496" t="inlineStr">
        <is>
          <t>of Xi Jinping's drive</t>
        </is>
      </c>
      <c r="D5496">
        <f>HYPERLINK("https://www.youtube.com/watch?v=JC0MWxmLvjo&amp;t=363s", "Go to time")</f>
        <v/>
      </c>
    </row>
    <row r="5497">
      <c r="A5497">
        <f>HYPERLINK("https://www.youtube.com/watch?v=QJwSB5D0Am8", "Video")</f>
        <v/>
      </c>
      <c r="B5497" t="inlineStr">
        <is>
          <t>4:11</t>
        </is>
      </c>
      <c r="C5497" t="inlineStr">
        <is>
          <t>was driven by the fact this was going</t>
        </is>
      </c>
      <c r="D5497">
        <f>HYPERLINK("https://www.youtube.com/watch?v=QJwSB5D0Am8&amp;t=251s", "Go to time")</f>
        <v/>
      </c>
    </row>
    <row r="5498">
      <c r="A5498">
        <f>HYPERLINK("https://www.youtube.com/watch?v=8ueMIX-xOVk", "Video")</f>
        <v/>
      </c>
      <c r="B5498" t="inlineStr">
        <is>
          <t>1:06</t>
        </is>
      </c>
      <c r="C5498" t="inlineStr">
        <is>
          <t>Sisters brand across the gravel drive is</t>
        </is>
      </c>
      <c r="D5498">
        <f>HYPERLINK("https://www.youtube.com/watch?v=8ueMIX-xOVk&amp;t=66s", "Go to time")</f>
        <v/>
      </c>
    </row>
    <row r="5499">
      <c r="A5499">
        <f>HYPERLINK("https://www.youtube.com/watch?v=YFoFSHM2fg4", "Video")</f>
        <v/>
      </c>
      <c r="B5499" t="inlineStr">
        <is>
          <t>1:04</t>
        </is>
      </c>
      <c r="C5499" t="inlineStr">
        <is>
          <t>driver it appears to show one of the</t>
        </is>
      </c>
      <c r="D5499">
        <f>HYPERLINK("https://www.youtube.com/watch?v=YFoFSHM2fg4&amp;t=64s", "Go to time")</f>
        <v/>
      </c>
    </row>
    <row r="5500">
      <c r="A5500">
        <f>HYPERLINK("https://www.youtube.com/watch?v=YFoFSHM2fg4", "Video")</f>
        <v/>
      </c>
      <c r="B5500" t="inlineStr">
        <is>
          <t>1:20</t>
        </is>
      </c>
      <c r="C5500" t="inlineStr">
        <is>
          <t>customers the drivers involved have been</t>
        </is>
      </c>
      <c r="D5500">
        <f>HYPERLINK("https://www.youtube.com/watch?v=YFoFSHM2fg4&amp;t=80s", "Go to time")</f>
        <v/>
      </c>
    </row>
    <row r="5501">
      <c r="A5501">
        <f>HYPERLINK("https://www.youtube.com/watch?v=kLl-X9BnEVM", "Video")</f>
        <v/>
      </c>
      <c r="B5501" t="inlineStr">
        <is>
          <t>3:06</t>
        </is>
      </c>
      <c r="C5501" t="inlineStr">
        <is>
          <t>drive those revenues so it's critically</t>
        </is>
      </c>
      <c r="D5501">
        <f>HYPERLINK("https://www.youtube.com/watch?v=kLl-X9BnEVM&amp;t=186s", "Go to time")</f>
        <v/>
      </c>
    </row>
    <row r="5502">
      <c r="A5502">
        <f>HYPERLINK("https://www.youtube.com/watch?v=kLl-X9BnEVM", "Video")</f>
        <v/>
      </c>
      <c r="B5502" t="inlineStr">
        <is>
          <t>4:49</t>
        </is>
      </c>
      <c r="C5502" t="inlineStr">
        <is>
          <t>viewership and to drive the sponsorship</t>
        </is>
      </c>
      <c r="D5502">
        <f>HYPERLINK("https://www.youtube.com/watch?v=kLl-X9BnEVM&amp;t=289s", "Go to time")</f>
        <v/>
      </c>
    </row>
    <row r="5503">
      <c r="A5503">
        <f>HYPERLINK("https://www.youtube.com/watch?v=iuTvj5T7K48", "Video")</f>
        <v/>
      </c>
      <c r="B5503" t="inlineStr">
        <is>
          <t>0:36</t>
        </is>
      </c>
      <c r="C5503" t="inlineStr">
        <is>
          <t>still a big Revenue driver for the music</t>
        </is>
      </c>
      <c r="D5503">
        <f>HYPERLINK("https://www.youtube.com/watch?v=iuTvj5T7K48&amp;t=36s", "Go to time")</f>
        <v/>
      </c>
    </row>
    <row r="5504">
      <c r="A5504">
        <f>HYPERLINK("https://www.youtube.com/watch?v=Ie9rfoNrtJ4", "Video")</f>
        <v/>
      </c>
      <c r="B5504" t="inlineStr">
        <is>
          <t>0:29</t>
        </is>
      </c>
      <c r="C5504" t="inlineStr">
        <is>
          <t>continues to drive Revenue growth by</t>
        </is>
      </c>
      <c r="D5504">
        <f>HYPERLINK("https://www.youtube.com/watch?v=Ie9rfoNrtJ4&amp;t=29s", "Go to time")</f>
        <v/>
      </c>
    </row>
    <row r="5505">
      <c r="A5505">
        <f>HYPERLINK("https://www.youtube.com/watch?v=xPS4sJRfvA0", "Video")</f>
        <v/>
      </c>
      <c r="B5505" t="inlineStr">
        <is>
          <t>0:59</t>
        </is>
      </c>
      <c r="C5505" t="inlineStr">
        <is>
          <t>and breakthroughs in AI are
helping to drive a market rally.</t>
        </is>
      </c>
      <c r="D5505">
        <f>HYPERLINK("https://www.youtube.com/watch?v=xPS4sJRfvA0&amp;t=59s", "Go to time")</f>
        <v/>
      </c>
    </row>
    <row r="5506">
      <c r="A5506">
        <f>HYPERLINK("https://www.youtube.com/watch?v=tZzaiKQdWFQ", "Video")</f>
        <v/>
      </c>
      <c r="B5506" t="inlineStr">
        <is>
          <t>1:55</t>
        </is>
      </c>
      <c r="C5506" t="inlineStr">
        <is>
          <t>drive the vehicle and so he really</t>
        </is>
      </c>
      <c r="D5506">
        <f>HYPERLINK("https://www.youtube.com/watch?v=tZzaiKQdWFQ&amp;t=115s", "Go to time")</f>
        <v/>
      </c>
    </row>
    <row r="5507">
      <c r="A5507">
        <f>HYPERLINK("https://www.youtube.com/watch?v=hQ29P82BiyM", "Video")</f>
        <v/>
      </c>
      <c r="B5507" t="inlineStr">
        <is>
          <t>1:52</t>
        </is>
      </c>
      <c r="C5507" t="inlineStr">
        <is>
          <t>that has driven inflation even higher,</t>
        </is>
      </c>
      <c r="D5507">
        <f>HYPERLINK("https://www.youtube.com/watch?v=hQ29P82BiyM&amp;t=112s", "Go to time")</f>
        <v/>
      </c>
    </row>
    <row r="5508">
      <c r="A5508">
        <f>HYPERLINK("https://www.youtube.com/watch?v=hQ29P82BiyM", "Video")</f>
        <v/>
      </c>
      <c r="B5508" t="inlineStr">
        <is>
          <t>1:54</t>
        </is>
      </c>
      <c r="C5508" t="inlineStr">
        <is>
          <t>and this cost of living crisis
is what had driven a lot</t>
        </is>
      </c>
      <c r="D5508">
        <f>HYPERLINK("https://www.youtube.com/watch?v=hQ29P82BiyM&amp;t=114s", "Go to time")</f>
        <v/>
      </c>
    </row>
    <row r="5509">
      <c r="A5509">
        <f>HYPERLINK("https://www.youtube.com/watch?v=yK92Cyp9fl8", "Video")</f>
        <v/>
      </c>
      <c r="B5509" t="inlineStr">
        <is>
          <t>1:56</t>
        </is>
      </c>
      <c r="C5509" t="inlineStr">
        <is>
          <t>drive-thru experience that's right in</t>
        </is>
      </c>
      <c r="D5509">
        <f>HYPERLINK("https://www.youtube.com/watch?v=yK92Cyp9fl8&amp;t=116s", "Go to time")</f>
        <v/>
      </c>
    </row>
    <row r="5510">
      <c r="A5510">
        <f>HYPERLINK("https://www.youtube.com/watch?v=V2u3dcH2VGM", "Video")</f>
        <v/>
      </c>
      <c r="B5510" t="inlineStr">
        <is>
          <t>1:02</t>
        </is>
      </c>
      <c r="C5510" t="inlineStr">
        <is>
          <t>and though, its Driver Monitoring System</t>
        </is>
      </c>
      <c r="D5510">
        <f>HYPERLINK("https://www.youtube.com/watch?v=V2u3dcH2VGM&amp;t=62s", "Go to time")</f>
        <v/>
      </c>
    </row>
    <row r="5511">
      <c r="A5511">
        <f>HYPERLINK("https://www.youtube.com/watch?v=V2u3dcH2VGM", "Video")</f>
        <v/>
      </c>
      <c r="B5511" t="inlineStr">
        <is>
          <t>1:05</t>
        </is>
      </c>
      <c r="C5511" t="inlineStr">
        <is>
          <t>it was not enough to
sideline the impaired driver</t>
        </is>
      </c>
      <c r="D5511">
        <f>HYPERLINK("https://www.youtube.com/watch?v=V2u3dcH2VGM&amp;t=65s", "Go to time")</f>
        <v/>
      </c>
    </row>
    <row r="5512">
      <c r="A5512">
        <f>HYPERLINK("https://www.youtube.com/watch?v=V2u3dcH2VGM", "Video")</f>
        <v/>
      </c>
      <c r="B5512" t="inlineStr">
        <is>
          <t>1:29</t>
        </is>
      </c>
      <c r="C5512" t="inlineStr">
        <is>
          <t>The driver in the Texas crash
begins his 45-minute trip</t>
        </is>
      </c>
      <c r="D5512">
        <f>HYPERLINK("https://www.youtube.com/watch?v=V2u3dcH2VGM&amp;t=89s", "Go to time")</f>
        <v/>
      </c>
    </row>
    <row r="5513">
      <c r="A5513">
        <f>HYPERLINK("https://www.youtube.com/watch?v=V2u3dcH2VGM", "Video")</f>
        <v/>
      </c>
      <c r="B5513" t="inlineStr">
        <is>
          <t>1:44</t>
        </is>
      </c>
      <c r="C5513" t="inlineStr">
        <is>
          <t>About four minutes into his drive,</t>
        </is>
      </c>
      <c r="D5513">
        <f>HYPERLINK("https://www.youtube.com/watch?v=V2u3dcH2VGM&amp;t=104s", "Go to time")</f>
        <v/>
      </c>
    </row>
    <row r="5514">
      <c r="A5514">
        <f>HYPERLINK("https://www.youtube.com/watch?v=V2u3dcH2VGM", "Video")</f>
        <v/>
      </c>
      <c r="B5514" t="inlineStr">
        <is>
          <t>2:02</t>
        </is>
      </c>
      <c r="C5514" t="inlineStr">
        <is>
          <t>Drivers using Autopilot are
supposed to remain engaged</t>
        </is>
      </c>
      <c r="D5514">
        <f>HYPERLINK("https://www.youtube.com/watch?v=V2u3dcH2VGM&amp;t=122s", "Go to time")</f>
        <v/>
      </c>
    </row>
    <row r="5515">
      <c r="A5515">
        <f>HYPERLINK("https://www.youtube.com/watch?v=V2u3dcH2VGM", "Video")</f>
        <v/>
      </c>
      <c r="B5515" t="inlineStr">
        <is>
          <t>2:15</t>
        </is>
      </c>
      <c r="C5515" t="inlineStr">
        <is>
          <t>and encourages drivers to
misuse the technology."</t>
        </is>
      </c>
      <c r="D5515">
        <f>HYPERLINK("https://www.youtube.com/watch?v=V2u3dcH2VGM&amp;t=135s", "Go to time")</f>
        <v/>
      </c>
    </row>
    <row r="5516">
      <c r="A5516">
        <f>HYPERLINK("https://www.youtube.com/watch?v=V2u3dcH2VGM", "Video")</f>
        <v/>
      </c>
      <c r="B5516" t="inlineStr">
        <is>
          <t>2:25</t>
        </is>
      </c>
      <c r="C5516" t="inlineStr">
        <is>
          <t>judged whether the driver was alert</t>
        </is>
      </c>
      <c r="D5516">
        <f>HYPERLINK("https://www.youtube.com/watch?v=V2u3dcH2VGM&amp;t=145s", "Go to time")</f>
        <v/>
      </c>
    </row>
    <row r="5517">
      <c r="A5517">
        <f>HYPERLINK("https://www.youtube.com/watch?v=V2u3dcH2VGM", "Video")</f>
        <v/>
      </c>
      <c r="B5517" t="inlineStr">
        <is>
          <t>2:31</t>
        </is>
      </c>
      <c r="C5517" t="inlineStr">
        <is>
          <t>the driver received an alert.</t>
        </is>
      </c>
      <c r="D5517">
        <f>HYPERLINK("https://www.youtube.com/watch?v=V2u3dcH2VGM&amp;t=151s", "Go to time")</f>
        <v/>
      </c>
    </row>
    <row r="5518">
      <c r="A5518">
        <f>HYPERLINK("https://www.youtube.com/watch?v=V2u3dcH2VGM", "Video")</f>
        <v/>
      </c>
      <c r="B5518" t="inlineStr">
        <is>
          <t>2:33</t>
        </is>
      </c>
      <c r="C5518" t="inlineStr">
        <is>
          <t>If the driver didn't respond,</t>
        </is>
      </c>
      <c r="D5518">
        <f>HYPERLINK("https://www.youtube.com/watch?v=V2u3dcH2VGM&amp;t=153s", "Go to time")</f>
        <v/>
      </c>
    </row>
    <row r="5519">
      <c r="A5519">
        <f>HYPERLINK("https://www.youtube.com/watch?v=V2u3dcH2VGM", "Video")</f>
        <v/>
      </c>
      <c r="B5519" t="inlineStr">
        <is>
          <t>2:38</t>
        </is>
      </c>
      <c r="C5519" t="inlineStr">
        <is>
          <t>"The driver in the Texas crash</t>
        </is>
      </c>
      <c r="D5519">
        <f>HYPERLINK("https://www.youtube.com/watch?v=V2u3dcH2VGM&amp;t=158s", "Go to time")</f>
        <v/>
      </c>
    </row>
    <row r="5520">
      <c r="A5520">
        <f>HYPERLINK("https://www.youtube.com/watch?v=V2u3dcH2VGM", "Video")</f>
        <v/>
      </c>
      <c r="B5520" t="inlineStr">
        <is>
          <t>2:54</t>
        </is>
      </c>
      <c r="C5520" t="inlineStr">
        <is>
          <t>over the course of this 45-minute drive.</t>
        </is>
      </c>
      <c r="D5520">
        <f>HYPERLINK("https://www.youtube.com/watch?v=V2u3dcH2VGM&amp;t=174s", "Go to time")</f>
        <v/>
      </c>
    </row>
    <row r="5521">
      <c r="A5521">
        <f>HYPERLINK("https://www.youtube.com/watch?v=V2u3dcH2VGM", "Video")</f>
        <v/>
      </c>
      <c r="B5521" t="inlineStr">
        <is>
          <t>2:57</t>
        </is>
      </c>
      <c r="C5521" t="inlineStr">
        <is>
          <t>By the design of Tesla's
Driver Monitoring System,</t>
        </is>
      </c>
      <c r="D5521">
        <f>HYPERLINK("https://www.youtube.com/watch?v=V2u3dcH2VGM&amp;t=177s", "Go to time")</f>
        <v/>
      </c>
    </row>
    <row r="5522">
      <c r="A5522">
        <f>HYPERLINK("https://www.youtube.com/watch?v=V2u3dcH2VGM", "Video")</f>
        <v/>
      </c>
      <c r="B5522" t="inlineStr">
        <is>
          <t>3:00</t>
        </is>
      </c>
      <c r="C5522" t="inlineStr">
        <is>
          <t>the driver was paying enough attention</t>
        </is>
      </c>
      <c r="D5522">
        <f>HYPERLINK("https://www.youtube.com/watch?v=V2u3dcH2VGM&amp;t=180s", "Go to time")</f>
        <v/>
      </c>
    </row>
    <row r="5523">
      <c r="A5523">
        <f>HYPERLINK("https://www.youtube.com/watch?v=V2u3dcH2VGM", "Video")</f>
        <v/>
      </c>
      <c r="B5523" t="inlineStr">
        <is>
          <t>3:24</t>
        </is>
      </c>
      <c r="C5523" t="inlineStr">
        <is>
          <t>Around 15 minutes into the drive,</t>
        </is>
      </c>
      <c r="D5523">
        <f>HYPERLINK("https://www.youtube.com/watch?v=V2u3dcH2VGM&amp;t=204s", "Go to time")</f>
        <v/>
      </c>
    </row>
    <row r="5524">
      <c r="A5524">
        <f>HYPERLINK("https://www.youtube.com/watch?v=V2u3dcH2VGM", "Video")</f>
        <v/>
      </c>
      <c r="B5524" t="inlineStr">
        <is>
          <t>3:32</t>
        </is>
      </c>
      <c r="C5524" t="inlineStr">
        <is>
          <t>Then again, about 35
minutes into the drive,</t>
        </is>
      </c>
      <c r="D5524">
        <f>HYPERLINK("https://www.youtube.com/watch?v=V2u3dcH2VGM&amp;t=212s", "Go to time")</f>
        <v/>
      </c>
    </row>
    <row r="5525">
      <c r="A5525">
        <f>HYPERLINK("https://www.youtube.com/watch?v=V2u3dcH2VGM", "Video")</f>
        <v/>
      </c>
      <c r="B5525" t="inlineStr">
        <is>
          <t>3:38</t>
        </is>
      </c>
      <c r="C5525" t="inlineStr">
        <is>
          <t>and tracks it as it drives off.</t>
        </is>
      </c>
      <c r="D5525">
        <f>HYPERLINK("https://www.youtube.com/watch?v=V2u3dcH2VGM&amp;t=218s", "Go to time")</f>
        <v/>
      </c>
    </row>
    <row r="5526">
      <c r="A5526">
        <f>HYPERLINK("https://www.youtube.com/watch?v=V2u3dcH2VGM", "Video")</f>
        <v/>
      </c>
      <c r="B5526" t="inlineStr">
        <is>
          <t>3:52</t>
        </is>
      </c>
      <c r="C5526" t="inlineStr">
        <is>
          <t>but an attentive driver</t>
        </is>
      </c>
      <c r="D5526">
        <f>HYPERLINK("https://www.youtube.com/watch?v=V2u3dcH2VGM&amp;t=232s", "Go to time")</f>
        <v/>
      </c>
    </row>
    <row r="5527">
      <c r="A5527">
        <f>HYPERLINK("https://www.youtube.com/watch?v=V2u3dcH2VGM", "Video")</f>
        <v/>
      </c>
      <c r="B5527" t="inlineStr">
        <is>
          <t>3:58</t>
        </is>
      </c>
      <c r="C5527" t="inlineStr">
        <is>
          <t>the driver receives his 150th warning</t>
        </is>
      </c>
      <c r="D5527">
        <f>HYPERLINK("https://www.youtube.com/watch?v=V2u3dcH2VGM&amp;t=238s", "Go to time")</f>
        <v/>
      </c>
    </row>
    <row r="5528">
      <c r="A5528">
        <f>HYPERLINK("https://www.youtube.com/watch?v=V2u3dcH2VGM", "Video")</f>
        <v/>
      </c>
      <c r="B5528" t="inlineStr">
        <is>
          <t>5:06</t>
        </is>
      </c>
      <c r="C5528" t="inlineStr">
        <is>
          <t>and claims, "The fault
lies with the driver."</t>
        </is>
      </c>
      <c r="D5528">
        <f>HYPERLINK("https://www.youtube.com/watch?v=V2u3dcH2VGM&amp;t=306s", "Go to time")</f>
        <v/>
      </c>
    </row>
    <row r="5529">
      <c r="A5529">
        <f>HYPERLINK("https://www.youtube.com/watch?v=V2u3dcH2VGM", "Video")</f>
        <v/>
      </c>
      <c r="B5529" t="inlineStr">
        <is>
          <t>5:09</t>
        </is>
      </c>
      <c r="C5529" t="inlineStr">
        <is>
          <t>The driver did not respond
to attempts to contact him.</t>
        </is>
      </c>
      <c r="D5529">
        <f>HYPERLINK("https://www.youtube.com/watch?v=V2u3dcH2VGM&amp;t=309s", "Go to time")</f>
        <v/>
      </c>
    </row>
    <row r="5530">
      <c r="A5530">
        <f>HYPERLINK("https://www.youtube.com/watch?v=V2u3dcH2VGM", "Video")</f>
        <v/>
      </c>
      <c r="B5530" t="inlineStr">
        <is>
          <t>5:19</t>
        </is>
      </c>
      <c r="C5530" t="inlineStr">
        <is>
          <t>to monitor driver attentiveness,</t>
        </is>
      </c>
      <c r="D5530">
        <f>HYPERLINK("https://www.youtube.com/watch?v=V2u3dcH2VGM&amp;t=319s", "Go to time")</f>
        <v/>
      </c>
    </row>
    <row r="5531">
      <c r="A5531">
        <f>HYPERLINK("https://www.youtube.com/watch?v=V2u3dcH2VGM", "Video")</f>
        <v/>
      </c>
      <c r="B5531" t="inlineStr">
        <is>
          <t>5:24</t>
        </is>
      </c>
      <c r="C5531" t="inlineStr">
        <is>
          <t>and drivers still find
ways to fool the system.</t>
        </is>
      </c>
      <c r="D5531">
        <f>HYPERLINK("https://www.youtube.com/watch?v=V2u3dcH2VGM&amp;t=324s", "Go to time")</f>
        <v/>
      </c>
    </row>
    <row r="5532">
      <c r="A5532">
        <f>HYPERLINK("https://www.youtube.com/watch?v=vTWhsgs3ZRA", "Video")</f>
        <v/>
      </c>
      <c r="B5532" t="inlineStr">
        <is>
          <t>4:14</t>
        </is>
      </c>
      <c r="C5532" t="inlineStr">
        <is>
          <t>a single point of view that is
driven by the price of crude,</t>
        </is>
      </c>
      <c r="D5532">
        <f>HYPERLINK("https://www.youtube.com/watch?v=vTWhsgs3ZRA&amp;t=254s", "Go to time")</f>
        <v/>
      </c>
    </row>
    <row r="5533">
      <c r="A5533">
        <f>HYPERLINK("https://www.youtube.com/watch?v=oYfl4UCGBwk", "Video")</f>
        <v/>
      </c>
      <c r="B5533" t="inlineStr">
        <is>
          <t>0:12</t>
        </is>
      </c>
      <c r="C5533" t="inlineStr">
        <is>
          <t>Dewey often competed as a pilot, or 
driver, in 4-person bobsledding events.</t>
        </is>
      </c>
      <c r="D5533">
        <f>HYPERLINK("https://www.youtube.com/watch?v=oYfl4UCGBwk&amp;t=12s", "Go to time")</f>
        <v/>
      </c>
    </row>
    <row r="5534">
      <c r="A5534">
        <f>HYPERLINK("https://www.youtube.com/watch?v=h42QVfrUVFw", "Video")</f>
        <v/>
      </c>
      <c r="B5534" t="inlineStr">
        <is>
          <t>4:15</t>
        </is>
      </c>
      <c r="C5534" t="inlineStr">
        <is>
          <t>This is José, our very focused driver.</t>
        </is>
      </c>
      <c r="D5534">
        <f>HYPERLINK("https://www.youtube.com/watch?v=h42QVfrUVFw&amp;t=255s", "Go to time")</f>
        <v/>
      </c>
    </row>
    <row r="5535">
      <c r="A5535">
        <f>HYPERLINK("https://www.youtube.com/watch?v=9maR-JiL5jY", "Video")</f>
        <v/>
      </c>
      <c r="B5535" t="inlineStr">
        <is>
          <t>1:21</t>
        </is>
      </c>
      <c r="C5535" t="inlineStr">
        <is>
          <t>drive me crazy</t>
        </is>
      </c>
      <c r="D5535">
        <f>HYPERLINK("https://www.youtube.com/watch?v=9maR-JiL5jY&amp;t=81s", "Go to time")</f>
        <v/>
      </c>
    </row>
    <row r="5536">
      <c r="A5536">
        <f>HYPERLINK("https://www.youtube.com/watch?v=bZ8S1vbfR7k", "Video")</f>
        <v/>
      </c>
      <c r="B5536" t="inlineStr">
        <is>
          <t>4:40</t>
        </is>
      </c>
      <c r="C5536" t="inlineStr">
        <is>
          <t>is what drives the best athletes forward</t>
        </is>
      </c>
      <c r="D5536">
        <f>HYPERLINK("https://www.youtube.com/watch?v=bZ8S1vbfR7k&amp;t=280s", "Go to time")</f>
        <v/>
      </c>
    </row>
    <row r="5537">
      <c r="A5537">
        <f>HYPERLINK("https://www.youtube.com/watch?v=bVzvZxW5n2Q", "Video")</f>
        <v/>
      </c>
      <c r="B5537" t="inlineStr">
        <is>
          <t>0:07</t>
        </is>
      </c>
      <c r="C5537" t="inlineStr">
        <is>
          <t>drivers couldn’t see where they were going.</t>
        </is>
      </c>
      <c r="D5537">
        <f>HYPERLINK("https://www.youtube.com/watch?v=bVzvZxW5n2Q&amp;t=7s", "Go to time")</f>
        <v/>
      </c>
    </row>
    <row r="5538">
      <c r="A5538">
        <f>HYPERLINK("https://www.youtube.com/watch?v=bVzvZxW5n2Q", "Video")</f>
        <v/>
      </c>
      <c r="B5538" t="inlineStr">
        <is>
          <t>0:15</t>
        </is>
      </c>
      <c r="C5538" t="inlineStr">
        <is>
          <t>as drivers kept crashing into the pileup.</t>
        </is>
      </c>
      <c r="D5538">
        <f>HYPERLINK("https://www.youtube.com/watch?v=bVzvZxW5n2Q&amp;t=15s", "Go to time")</f>
        <v/>
      </c>
    </row>
    <row r="5539">
      <c r="A5539">
        <f>HYPERLINK("https://www.youtube.com/watch?v=Ml-ZP-_e_o4", "Video")</f>
        <v/>
      </c>
      <c r="B5539" t="inlineStr">
        <is>
          <t>2:52</t>
        </is>
      </c>
      <c r="C5539" t="inlineStr">
        <is>
          <t>A number of trends have driven us towards
actually building car dealership</t>
        </is>
      </c>
      <c r="D5539">
        <f>HYPERLINK("https://www.youtube.com/watch?v=Ml-ZP-_e_o4&amp;t=172s", "Go to time")</f>
        <v/>
      </c>
    </row>
    <row r="5540">
      <c r="A5540">
        <f>HYPERLINK("https://www.youtube.com/watch?v=2CM6kgzRxyc", "Video")</f>
        <v/>
      </c>
      <c r="B5540" t="inlineStr">
        <is>
          <t>0:12</t>
        </is>
      </c>
      <c r="C5540" t="inlineStr">
        <is>
          <t>driven by overdoses on prescription</t>
        </is>
      </c>
      <c r="D5540">
        <f>HYPERLINK("https://www.youtube.com/watch?v=2CM6kgzRxyc&amp;t=12s", "Go to time")</f>
        <v/>
      </c>
    </row>
    <row r="5541">
      <c r="A5541">
        <f>HYPERLINK("https://www.youtube.com/watch?v=2CM6kgzRxyc", "Video")</f>
        <v/>
      </c>
      <c r="B5541" t="inlineStr">
        <is>
          <t>7:15</t>
        </is>
      </c>
      <c r="C5541" t="inlineStr">
        <is>
          <t>drop was mainly driven by a decrease in</t>
        </is>
      </c>
      <c r="D5541">
        <f>HYPERLINK("https://www.youtube.com/watch?v=2CM6kgzRxyc&amp;t=435s", "Go to time")</f>
        <v/>
      </c>
    </row>
    <row r="5542">
      <c r="A5542">
        <f>HYPERLINK("https://www.youtube.com/watch?v=YX68ym4n7_c", "Video")</f>
        <v/>
      </c>
      <c r="B5542" t="inlineStr">
        <is>
          <t>0:47</t>
        </is>
      </c>
      <c r="C5542" t="inlineStr">
        <is>
          <t>But it’s not just New York City – traffic
in cities like LA is so bad drivers could</t>
        </is>
      </c>
      <c r="D5542">
        <f>HYPERLINK("https://www.youtube.com/watch?v=YX68ym4n7_c&amp;t=47s", "Go to time")</f>
        <v/>
      </c>
    </row>
    <row r="5543">
      <c r="A5543">
        <f>HYPERLINK("https://www.youtube.com/watch?v=YX68ym4n7_c", "Video")</f>
        <v/>
      </c>
      <c r="B5543" t="inlineStr">
        <is>
          <t>0:54</t>
        </is>
      </c>
      <c r="C5543" t="inlineStr">
        <is>
          <t>Of course this sucks for drivers, but it also makes
activities like biking or walking less safe</t>
        </is>
      </c>
      <c r="D5543">
        <f>HYPERLINK("https://www.youtube.com/watch?v=YX68ym4n7_c&amp;t=54s", "Go to time")</f>
        <v/>
      </c>
    </row>
    <row r="5544">
      <c r="A5544">
        <f>HYPERLINK("https://www.youtube.com/watch?v=YX68ym4n7_c", "Video")</f>
        <v/>
      </c>
      <c r="B5544" t="inlineStr">
        <is>
          <t>1:17</t>
        </is>
      </c>
      <c r="C5544" t="inlineStr">
        <is>
          <t>It’s called congestion pricing.
And it means charging drivers for using the roads.</t>
        </is>
      </c>
      <c r="D5544">
        <f>HYPERLINK("https://www.youtube.com/watch?v=YX68ym4n7_c&amp;t=77s", "Go to time")</f>
        <v/>
      </c>
    </row>
    <row r="5545">
      <c r="A5545">
        <f>HYPERLINK("https://www.youtube.com/watch?v=YX68ym4n7_c", "Video")</f>
        <v/>
      </c>
      <c r="B5545" t="inlineStr">
        <is>
          <t>2:12</t>
        </is>
      </c>
      <c r="C5545" t="inlineStr">
        <is>
          <t>When drivers enter the Central London congestion
zone between 7 a.m. and 6 p.m., they’re</t>
        </is>
      </c>
      <c r="D5545">
        <f>HYPERLINK("https://www.youtube.com/watch?v=YX68ym4n7_c&amp;t=132s", "Go to time")</f>
        <v/>
      </c>
    </row>
    <row r="5546">
      <c r="A5546">
        <f>HYPERLINK("https://www.youtube.com/watch?v=YX68ym4n7_c", "Video")</f>
        <v/>
      </c>
      <c r="B5546" t="inlineStr">
        <is>
          <t>2:22</t>
        </is>
      </c>
      <c r="C5546" t="inlineStr">
        <is>
          <t>When drivers enter Midtown or Lower Manhattan,
they'll face a fee.</t>
        </is>
      </c>
      <c r="D5546">
        <f>HYPERLINK("https://www.youtube.com/watch?v=YX68ym4n7_c&amp;t=142s", "Go to time")</f>
        <v/>
      </c>
    </row>
    <row r="5547">
      <c r="A5547">
        <f>HYPERLINK("https://www.youtube.com/watch?v=hvAigEXWSYM", "Video")</f>
        <v/>
      </c>
      <c r="B5547" t="inlineStr">
        <is>
          <t>3:42</t>
        </is>
      </c>
      <c r="C5547" t="inlineStr">
        <is>
          <t>little cheaper and also Drive Coastal</t>
        </is>
      </c>
      <c r="D5547">
        <f>HYPERLINK("https://www.youtube.com/watch?v=hvAigEXWSYM&amp;t=222s", "Go to time")</f>
        <v/>
      </c>
    </row>
    <row r="5548">
      <c r="A5548">
        <f>HYPERLINK("https://www.youtube.com/watch?v=cUBg6Qp_N98", "Video")</f>
        <v/>
      </c>
      <c r="B5548" t="inlineStr">
        <is>
          <t>2:29</t>
        </is>
      </c>
      <c r="C5548" t="inlineStr">
        <is>
          <t>can drive up prices from other sources</t>
        </is>
      </c>
      <c r="D5548">
        <f>HYPERLINK("https://www.youtube.com/watch?v=cUBg6Qp_N98&amp;t=149s", "Go to time")</f>
        <v/>
      </c>
    </row>
    <row r="5549">
      <c r="A5549">
        <f>HYPERLINK("https://www.youtube.com/watch?v=NtfHggkzmN8", "Video")</f>
        <v/>
      </c>
      <c r="B5549" t="inlineStr">
        <is>
          <t>0:16</t>
        </is>
      </c>
      <c r="C5549" t="inlineStr">
        <is>
          <t>20 minutes later you're faced
with this screen. Do you tip your driver or not?</t>
        </is>
      </c>
      <c r="D5549">
        <f>HYPERLINK("https://www.youtube.com/watch?v=NtfHggkzmN8&amp;t=16s", "Go to time")</f>
        <v/>
      </c>
    </row>
    <row r="5550">
      <c r="A5550">
        <f>HYPERLINK("https://www.youtube.com/watch?v=NtfHggkzmN8", "Video")</f>
        <v/>
      </c>
      <c r="B5550" t="inlineStr">
        <is>
          <t>0:47</t>
        </is>
      </c>
      <c r="C5550" t="inlineStr">
        <is>
          <t>When I talk to drivers,
tipping is definitely a big deal for them.</t>
        </is>
      </c>
      <c r="D5550">
        <f>HYPERLINK("https://www.youtube.com/watch?v=NtfHggkzmN8&amp;t=47s", "Go to time")</f>
        <v/>
      </c>
    </row>
    <row r="5551">
      <c r="A5551">
        <f>HYPERLINK("https://www.youtube.com/watch?v=NtfHggkzmN8", "Video")</f>
        <v/>
      </c>
      <c r="B5551" t="inlineStr">
        <is>
          <t>0:57</t>
        </is>
      </c>
      <c r="C5551" t="inlineStr">
        <is>
          <t>App-based drivers and cab drivers perform a very similar service.</t>
        </is>
      </c>
      <c r="D5551">
        <f>HYPERLINK("https://www.youtube.com/watch?v=NtfHggkzmN8&amp;t=57s", "Go to time")</f>
        <v/>
      </c>
    </row>
    <row r="5552">
      <c r="A5552">
        <f>HYPERLINK("https://www.youtube.com/watch?v=NtfHggkzmN8", "Video")</f>
        <v/>
      </c>
      <c r="B5552" t="inlineStr">
        <is>
          <t>1:05</t>
        </is>
      </c>
      <c r="C5552" t="inlineStr">
        <is>
          <t>cab drivers should be tipped.</t>
        </is>
      </c>
      <c r="D5552">
        <f>HYPERLINK("https://www.youtube.com/watch?v=NtfHggkzmN8&amp;t=65s", "Go to time")</f>
        <v/>
      </c>
    </row>
    <row r="5553">
      <c r="A5553">
        <f>HYPERLINK("https://www.youtube.com/watch?v=NtfHggkzmN8", "Video")</f>
        <v/>
      </c>
      <c r="B5553" t="inlineStr">
        <is>
          <t>1:07</t>
        </is>
      </c>
      <c r="C5553" t="inlineStr">
        <is>
          <t>I would never walk out of a cab without tipping the driver.</t>
        </is>
      </c>
      <c r="D5553">
        <f>HYPERLINK("https://www.youtube.com/watch?v=NtfHggkzmN8&amp;t=67s", "Go to time")</f>
        <v/>
      </c>
    </row>
    <row r="5554">
      <c r="A5554">
        <f>HYPERLINK("https://www.youtube.com/watch?v=NtfHggkzmN8", "Video")</f>
        <v/>
      </c>
      <c r="B5554" t="inlineStr">
        <is>
          <t>1:10</t>
        </is>
      </c>
      <c r="C5554" t="inlineStr">
        <is>
          <t>I instinctively tip the cab driver.</t>
        </is>
      </c>
      <c r="D5554">
        <f>HYPERLINK("https://www.youtube.com/watch?v=NtfHggkzmN8&amp;t=70s", "Go to time")</f>
        <v/>
      </c>
    </row>
    <row r="5555">
      <c r="A5555">
        <f>HYPERLINK("https://www.youtube.com/watch?v=NtfHggkzmN8", "Video")</f>
        <v/>
      </c>
      <c r="B5555" t="inlineStr">
        <is>
          <t>1:24</t>
        </is>
      </c>
      <c r="C5555" t="inlineStr">
        <is>
          <t>This split, between how riders tip cab
drivers versus app-based drivers,</t>
        </is>
      </c>
      <c r="D5555">
        <f>HYPERLINK("https://www.youtube.com/watch?v=NtfHggkzmN8&amp;t=84s", "Go to time")</f>
        <v/>
      </c>
    </row>
    <row r="5556">
      <c r="A5556">
        <f>HYPERLINK("https://www.youtube.com/watch?v=NtfHggkzmN8", "Video")</f>
        <v/>
      </c>
      <c r="B5556" t="inlineStr">
        <is>
          <t>1:47</t>
        </is>
      </c>
      <c r="C5556" t="inlineStr">
        <is>
          <t>Uber set the standard in terms of what's the right driver-rider courtesy.</t>
        </is>
      </c>
      <c r="D5556">
        <f>HYPERLINK("https://www.youtube.com/watch?v=NtfHggkzmN8&amp;t=107s", "Go to time")</f>
        <v/>
      </c>
    </row>
    <row r="5557">
      <c r="A5557">
        <f>HYPERLINK("https://www.youtube.com/watch?v=NtfHggkzmN8", "Video")</f>
        <v/>
      </c>
      <c r="B5557" t="inlineStr">
        <is>
          <t>1:51</t>
        </is>
      </c>
      <c r="C5557" t="inlineStr">
        <is>
          <t>And for years, Uber set the standard that what's right is not tipping your driver.</t>
        </is>
      </c>
      <c r="D5557">
        <f>HYPERLINK("https://www.youtube.com/watch?v=NtfHggkzmN8&amp;t=111s", "Go to time")</f>
        <v/>
      </c>
    </row>
    <row r="5558">
      <c r="A5558">
        <f>HYPERLINK("https://www.youtube.com/watch?v=NtfHggkzmN8", "Video")</f>
        <v/>
      </c>
      <c r="B5558" t="inlineStr">
        <is>
          <t>2:13</t>
        </is>
      </c>
      <c r="C5558" t="inlineStr">
        <is>
          <t>Uber also told riders that its
drivers take home the majority of the fare.</t>
        </is>
      </c>
      <c r="D5558">
        <f>HYPERLINK("https://www.youtube.com/watch?v=NtfHggkzmN8&amp;t=133s", "Go to time")</f>
        <v/>
      </c>
    </row>
    <row r="5559">
      <c r="A5559">
        <f>HYPERLINK("https://www.youtube.com/watch?v=NtfHggkzmN8", "Video")</f>
        <v/>
      </c>
      <c r="B5559" t="inlineStr">
        <is>
          <t>2:17</t>
        </is>
      </c>
      <c r="C5559" t="inlineStr">
        <is>
          <t>I thought that Uber and Lyft were
just like showering their drivers with</t>
        </is>
      </c>
      <c r="D5559">
        <f>HYPERLINK("https://www.youtube.com/watch?v=NtfHggkzmN8&amp;t=137s", "Go to time")</f>
        <v/>
      </c>
    </row>
    <row r="5560">
      <c r="A5560">
        <f>HYPERLINK("https://www.youtube.com/watch?v=NtfHggkzmN8", "Video")</f>
        <v/>
      </c>
      <c r="B5560" t="inlineStr">
        <is>
          <t>2:40</t>
        </is>
      </c>
      <c r="C5560" t="inlineStr">
        <is>
          <t>Still, for a time,
even though app-based drivers weren't</t>
        </is>
      </c>
      <c r="D5560">
        <f>HYPERLINK("https://www.youtube.com/watch?v=NtfHggkzmN8&amp;t=160s", "Go to time")</f>
        <v/>
      </c>
    </row>
    <row r="5561">
      <c r="A5561">
        <f>HYPERLINK("https://www.youtube.com/watch?v=NtfHggkzmN8", "Video")</f>
        <v/>
      </c>
      <c r="B5561" t="inlineStr">
        <is>
          <t>2:49</t>
        </is>
      </c>
      <c r="C5561" t="inlineStr">
        <is>
          <t>This chart shows what app-based drivers made
between 2012 and 2014.</t>
        </is>
      </c>
      <c r="D5561">
        <f>HYPERLINK("https://www.youtube.com/watch?v=NtfHggkzmN8&amp;t=169s", "Go to time")</f>
        <v/>
      </c>
    </row>
    <row r="5562">
      <c r="A5562">
        <f>HYPERLINK("https://www.youtube.com/watch?v=NtfHggkzmN8", "Video")</f>
        <v/>
      </c>
      <c r="B5562" t="inlineStr">
        <is>
          <t>3:10</t>
        </is>
      </c>
      <c r="C5562" t="inlineStr">
        <is>
          <t>There's been many reports that Uber drivers' pay has been going down over the years.</t>
        </is>
      </c>
      <c r="D5562">
        <f>HYPERLINK("https://www.youtube.com/watch?v=NtfHggkzmN8&amp;t=190s", "Go to time")</f>
        <v/>
      </c>
    </row>
    <row r="5563">
      <c r="A5563">
        <f>HYPERLINK("https://www.youtube.com/watch?v=NtfHggkzmN8", "Video")</f>
        <v/>
      </c>
      <c r="B5563" t="inlineStr">
        <is>
          <t>3:21</t>
        </is>
      </c>
      <c r="C5563" t="inlineStr">
        <is>
          <t>the rate that they give drivers per mile.</t>
        </is>
      </c>
      <c r="D5563">
        <f>HYPERLINK("https://www.youtube.com/watch?v=NtfHggkzmN8&amp;t=201s", "Go to time")</f>
        <v/>
      </c>
    </row>
    <row r="5564">
      <c r="A5564">
        <f>HYPERLINK("https://www.youtube.com/watch?v=NtfHggkzmN8", "Video")</f>
        <v/>
      </c>
      <c r="B5564" t="inlineStr">
        <is>
          <t>3:25</t>
        </is>
      </c>
      <c r="C5564" t="inlineStr">
        <is>
          <t>After 2014, app-based driver's pay dropped dramatically.</t>
        </is>
      </c>
      <c r="D5564">
        <f>HYPERLINK("https://www.youtube.com/watch?v=NtfHggkzmN8&amp;t=205s", "Go to time")</f>
        <v/>
      </c>
    </row>
    <row r="5565">
      <c r="A5565">
        <f>HYPERLINK("https://www.youtube.com/watch?v=NtfHggkzmN8", "Video")</f>
        <v/>
      </c>
      <c r="B5565" t="inlineStr">
        <is>
          <t>3:29</t>
        </is>
      </c>
      <c r="C5565" t="inlineStr">
        <is>
          <t>And by 2018, drivers were making nearly half what they were making just six years before.</t>
        </is>
      </c>
      <c r="D5565">
        <f>HYPERLINK("https://www.youtube.com/watch?v=NtfHggkzmN8&amp;t=209s", "Go to time")</f>
        <v/>
      </c>
    </row>
    <row r="5566">
      <c r="A5566">
        <f>HYPERLINK("https://www.youtube.com/watch?v=NtfHggkzmN8", "Video")</f>
        <v/>
      </c>
      <c r="B5566" t="inlineStr">
        <is>
          <t>3:35</t>
        </is>
      </c>
      <c r="C5566" t="inlineStr">
        <is>
          <t>You started to hear drivers get more and more disgruntled.</t>
        </is>
      </c>
      <c r="D5566">
        <f>HYPERLINK("https://www.youtube.com/watch?v=NtfHggkzmN8&amp;t=215s", "Go to time")</f>
        <v/>
      </c>
    </row>
    <row r="5567">
      <c r="A5567">
        <f>HYPERLINK("https://www.youtube.com/watch?v=NtfHggkzmN8", "Video")</f>
        <v/>
      </c>
      <c r="B5567" t="inlineStr">
        <is>
          <t>3:39</t>
        </is>
      </c>
      <c r="C5567" t="inlineStr">
        <is>
          <t>You saw this sort of
community form of drivers who felt like</t>
        </is>
      </c>
      <c r="D5567">
        <f>HYPERLINK("https://www.youtube.com/watch?v=NtfHggkzmN8&amp;t=219s", "Go to time")</f>
        <v/>
      </c>
    </row>
    <row r="5568">
      <c r="A5568">
        <f>HYPERLINK("https://www.youtube.com/watch?v=NtfHggkzmN8", "Video")</f>
        <v/>
      </c>
      <c r="B5568" t="inlineStr">
        <is>
          <t>3:49</t>
        </is>
      </c>
      <c r="C5568" t="inlineStr">
        <is>
          <t>drivers were getting was comparable to
how much to be getting in a cab</t>
        </is>
      </c>
      <c r="D5568">
        <f>HYPERLINK("https://www.youtube.com/watch?v=NtfHggkzmN8&amp;t=229s", "Go to time")</f>
        <v/>
      </c>
    </row>
    <row r="5569">
      <c r="A5569">
        <f>HYPERLINK("https://www.youtube.com/watch?v=NtfHggkzmN8", "Video")</f>
        <v/>
      </c>
      <c r="B5569" t="inlineStr">
        <is>
          <t>3:54</t>
        </is>
      </c>
      <c r="C5569" t="inlineStr">
        <is>
          <t>To make matters worse
for drivers, the reasons Uber had given</t>
        </is>
      </c>
      <c r="D5569">
        <f>HYPERLINK("https://www.youtube.com/watch?v=NtfHggkzmN8&amp;t=234s", "Go to time")</f>
        <v/>
      </c>
    </row>
    <row r="5570">
      <c r="A5570">
        <f>HYPERLINK("https://www.youtube.com/watch?v=NtfHggkzmN8", "Video")</f>
        <v/>
      </c>
      <c r="B5570" t="inlineStr">
        <is>
          <t>4:11</t>
        </is>
      </c>
      <c r="C5570" t="inlineStr">
        <is>
          <t>Finally, drivers'
dissatisfaction reached a turning point.</t>
        </is>
      </c>
      <c r="D5570">
        <f>HYPERLINK("https://www.youtube.com/watch?v=NtfHggkzmN8&amp;t=251s", "Go to time")</f>
        <v/>
      </c>
    </row>
    <row r="5571">
      <c r="A5571">
        <f>HYPERLINK("https://www.youtube.com/watch?v=NtfHggkzmN8", "Video")</f>
        <v/>
      </c>
      <c r="B5571" t="inlineStr">
        <is>
          <t>4:21</t>
        </is>
      </c>
      <c r="C5571" t="inlineStr">
        <is>
          <t>In 2017, Uber's then-CEO Travis Kalanick gets in an Uber and as he's leaving the driver brings up</t>
        </is>
      </c>
      <c r="D5571">
        <f>HYPERLINK("https://www.youtube.com/watch?v=NtfHggkzmN8&amp;t=261s", "Go to time")</f>
        <v/>
      </c>
    </row>
    <row r="5572">
      <c r="A5572">
        <f>HYPERLINK("https://www.youtube.com/watch?v=NtfHggkzmN8", "Video")</f>
        <v/>
      </c>
      <c r="B5572" t="inlineStr">
        <is>
          <t>4:28</t>
        </is>
      </c>
      <c r="C5572" t="inlineStr">
        <is>
          <t>driver pay to Travis.</t>
        </is>
      </c>
      <c r="D5572">
        <f>HYPERLINK("https://www.youtube.com/watch?v=NtfHggkzmN8&amp;t=268s", "Go to time")</f>
        <v/>
      </c>
    </row>
    <row r="5573">
      <c r="A5573">
        <f>HYPERLINK("https://www.youtube.com/watch?v=NtfHggkzmN8", "Video")</f>
        <v/>
      </c>
      <c r="B5573" t="inlineStr">
        <is>
          <t>4:37</t>
        </is>
      </c>
      <c r="C5573" t="inlineStr">
        <is>
          <t>And Travis sort of starts to blame the driver.</t>
        </is>
      </c>
      <c r="D5573">
        <f>HYPERLINK("https://www.youtube.com/watch?v=NtfHggkzmN8&amp;t=277s", "Go to time")</f>
        <v/>
      </c>
    </row>
    <row r="5574">
      <c r="A5574">
        <f>HYPERLINK("https://www.youtube.com/watch?v=NtfHggkzmN8", "Video")</f>
        <v/>
      </c>
      <c r="B5574" t="inlineStr">
        <is>
          <t>4:47</t>
        </is>
      </c>
      <c r="C5574" t="inlineStr">
        <is>
          <t>Definitely it was an inflection point because it made the company look like it didn't care about its drivers.</t>
        </is>
      </c>
      <c r="D5574">
        <f>HYPERLINK("https://www.youtube.com/watch?v=NtfHggkzmN8&amp;t=287s", "Go to time")</f>
        <v/>
      </c>
    </row>
    <row r="5575">
      <c r="A5575">
        <f>HYPERLINK("https://www.youtube.com/watch?v=NtfHggkzmN8", "Video")</f>
        <v/>
      </c>
      <c r="B5575" t="inlineStr">
        <is>
          <t>5:10</t>
        </is>
      </c>
      <c r="C5575" t="inlineStr">
        <is>
          <t>I always tip cab
drivers but I don't always tip Uber drivers.</t>
        </is>
      </c>
      <c r="D5575">
        <f>HYPERLINK("https://www.youtube.com/watch?v=NtfHggkzmN8&amp;t=310s", "Go to time")</f>
        <v/>
      </c>
    </row>
    <row r="5576">
      <c r="A5576">
        <f>HYPERLINK("https://www.youtube.com/watch?v=NtfHggkzmN8", "Video")</f>
        <v/>
      </c>
      <c r="B5576" t="inlineStr">
        <is>
          <t>5:19</t>
        </is>
      </c>
      <c r="C5576" t="inlineStr">
        <is>
          <t>So should you tip your Uber driver?</t>
        </is>
      </c>
      <c r="D5576">
        <f>HYPERLINK("https://www.youtube.com/watch?v=NtfHggkzmN8&amp;t=319s", "Go to time")</f>
        <v/>
      </c>
    </row>
    <row r="5577">
      <c r="A5577">
        <f>HYPERLINK("https://www.youtube.com/watch?v=NtfHggkzmN8", "Video")</f>
        <v/>
      </c>
      <c r="B5577" t="inlineStr">
        <is>
          <t>5:25</t>
        </is>
      </c>
      <c r="C5577" t="inlineStr">
        <is>
          <t>just like cab drivers, app-based
drivers do not automatically get tipped.</t>
        </is>
      </c>
      <c r="D5577">
        <f>HYPERLINK("https://www.youtube.com/watch?v=NtfHggkzmN8&amp;t=325s", "Go to time")</f>
        <v/>
      </c>
    </row>
    <row r="5578">
      <c r="A5578">
        <f>HYPERLINK("https://www.youtube.com/watch?v=KtxITylE73U", "Video")</f>
        <v/>
      </c>
      <c r="B5578" t="inlineStr">
        <is>
          <t>3:21</t>
        </is>
      </c>
      <c r="C5578" t="inlineStr">
        <is>
          <t>I mean, everyone's going to have a
suburban house and a Chevy in the driveway.</t>
        </is>
      </c>
      <c r="D5578">
        <f>HYPERLINK("https://www.youtube.com/watch?v=KtxITylE73U&amp;t=201s", "Go to time")</f>
        <v/>
      </c>
    </row>
    <row r="5579">
      <c r="A5579">
        <f>HYPERLINK("https://www.youtube.com/watch?v=gMaKhXkihGQ", "Video")</f>
        <v/>
      </c>
      <c r="B5579" t="inlineStr">
        <is>
          <t>7:45</t>
        </is>
      </c>
      <c r="C5579" t="inlineStr">
        <is>
          <t>Which drives the compression waves 
towards our sample.</t>
        </is>
      </c>
      <c r="D5579">
        <f>HYPERLINK("https://www.youtube.com/watch?v=gMaKhXkihGQ&amp;t=465s", "Go to time")</f>
        <v/>
      </c>
    </row>
    <row r="5580">
      <c r="A5580">
        <f>HYPERLINK("https://www.youtube.com/watch?v=R2karaKGgkk", "Video")</f>
        <v/>
      </c>
      <c r="B5580" t="inlineStr">
        <is>
          <t>10:33</t>
        </is>
      </c>
      <c r="C5580" t="inlineStr">
        <is>
          <t>driveways was simply amazing.</t>
        </is>
      </c>
      <c r="D5580">
        <f>HYPERLINK("https://www.youtube.com/watch?v=R2karaKGgkk&amp;t=633s", "Go to time")</f>
        <v/>
      </c>
    </row>
    <row r="5581">
      <c r="A5581">
        <f>HYPERLINK("https://www.youtube.com/watch?v=TJAklSh_rjk", "Video")</f>
        <v/>
      </c>
      <c r="B5581" t="inlineStr">
        <is>
          <t>17:53</t>
        </is>
      </c>
      <c r="C5581" t="inlineStr">
        <is>
          <t>and perhaps whether it drives it completely.</t>
        </is>
      </c>
      <c r="D5581">
        <f>HYPERLINK("https://www.youtube.com/watch?v=TJAklSh_rjk&amp;t=1073s", "Go to time")</f>
        <v/>
      </c>
    </row>
    <row r="5582">
      <c r="A5582">
        <f>HYPERLINK("https://www.youtube.com/watch?v=NVH7JewfgJg", "Video")</f>
        <v/>
      </c>
      <c r="B5582" t="inlineStr">
        <is>
          <t>0:15</t>
        </is>
      </c>
      <c r="C5582" t="inlineStr">
        <is>
          <t>Strand has backyards and driveways.</t>
        </is>
      </c>
      <c r="D5582">
        <f>HYPERLINK("https://www.youtube.com/watch?v=NVH7JewfgJg&amp;t=15s", "Go to time")</f>
        <v/>
      </c>
    </row>
    <row r="5583">
      <c r="A5583">
        <f>HYPERLINK("https://www.youtube.com/watch?v=mQDegCqiVnU", "Video")</f>
        <v/>
      </c>
      <c r="B5583" t="inlineStr">
        <is>
          <t>0:02</t>
        </is>
      </c>
      <c r="C5583" t="inlineStr">
        <is>
          <t>In this low-lying car I drive in</t>
        </is>
      </c>
      <c r="D5583">
        <f>HYPERLINK("https://www.youtube.com/watch?v=mQDegCqiVnU&amp;t=2s", "Go to time")</f>
        <v/>
      </c>
    </row>
    <row r="5584">
      <c r="A5584">
        <f>HYPERLINK("https://www.youtube.com/watch?v=mQDegCqiVnU", "Video")</f>
        <v/>
      </c>
      <c r="B5584" t="inlineStr">
        <is>
          <t>2:23</t>
        </is>
      </c>
      <c r="C5584" t="inlineStr">
        <is>
          <t>It's very comfortable to drive.</t>
        </is>
      </c>
      <c r="D5584">
        <f>HYPERLINK("https://www.youtube.com/watch?v=mQDegCqiVnU&amp;t=143s", "Go to time")</f>
        <v/>
      </c>
    </row>
    <row r="5585">
      <c r="A5585">
        <f>HYPERLINK("https://www.youtube.com/watch?v=mQDegCqiVnU", "Video")</f>
        <v/>
      </c>
      <c r="B5585" t="inlineStr">
        <is>
          <t>3:36</t>
        </is>
      </c>
      <c r="C5585" t="inlineStr">
        <is>
          <t>which everyday drivers weren't really 
driving at the time.</t>
        </is>
      </c>
      <c r="D5585">
        <f>HYPERLINK("https://www.youtube.com/watch?v=mQDegCqiVnU&amp;t=216s", "Go to time")</f>
        <v/>
      </c>
    </row>
    <row r="5586">
      <c r="A5586">
        <f>HYPERLINK("https://www.youtube.com/watch?v=mQDegCqiVnU", "Video")</f>
        <v/>
      </c>
      <c r="B5586" t="inlineStr">
        <is>
          <t>8:43</t>
        </is>
      </c>
      <c r="C5586" t="inlineStr">
        <is>
          <t>He’s bucked the SUV trend 
and drives a Honda Fit...</t>
        </is>
      </c>
      <c r="D5586">
        <f>HYPERLINK("https://www.youtube.com/watch?v=mQDegCqiVnU&amp;t=523s", "Go to time")</f>
        <v/>
      </c>
    </row>
    <row r="5587">
      <c r="A5587">
        <f>HYPERLINK("https://www.youtube.com/watch?v=7DlYBJzAo6k", "Video")</f>
        <v/>
      </c>
      <c r="B5587" t="inlineStr">
        <is>
          <t>3:15</t>
        </is>
      </c>
      <c r="C5587" t="inlineStr">
        <is>
          <t>the driver inside would be dead</t>
        </is>
      </c>
      <c r="D5587">
        <f>HYPERLINK("https://www.youtube.com/watch?v=7DlYBJzAo6k&amp;t=195s", "Go to time")</f>
        <v/>
      </c>
    </row>
    <row r="5588">
      <c r="A5588">
        <f>HYPERLINK("https://www.youtube.com/watch?v=QfAXbGInwno", "Video")</f>
        <v/>
      </c>
      <c r="B5588" t="inlineStr">
        <is>
          <t>5:16</t>
        </is>
      </c>
      <c r="C5588" t="inlineStr">
        <is>
          <t>vehicles driven for work</t>
        </is>
      </c>
      <c r="D5588">
        <f>HYPERLINK("https://www.youtube.com/watch?v=QfAXbGInwno&amp;t=316s", "Go to time")</f>
        <v/>
      </c>
    </row>
    <row r="5589">
      <c r="A5589">
        <f>HYPERLINK("https://www.youtube.com/watch?v=QfAXbGInwno", "Video")</f>
        <v/>
      </c>
      <c r="B5589" t="inlineStr">
        <is>
          <t>8:25</t>
        </is>
      </c>
      <c r="C5589" t="inlineStr">
        <is>
          <t>electric ones from a market-driven</t>
        </is>
      </c>
      <c r="D5589">
        <f>HYPERLINK("https://www.youtube.com/watch?v=QfAXbGInwno&amp;t=505s", "Go to time")</f>
        <v/>
      </c>
    </row>
    <row r="5590">
      <c r="A5590">
        <f>HYPERLINK("https://www.youtube.com/watch?v=ualUPur6iks", "Video")</f>
        <v/>
      </c>
      <c r="B5590" t="inlineStr">
        <is>
          <t>1:29</t>
        </is>
      </c>
      <c r="C5590" t="inlineStr">
        <is>
          <t>unemployment systems were in overdrive</t>
        </is>
      </c>
      <c r="D5590">
        <f>HYPERLINK("https://www.youtube.com/watch?v=ualUPur6iks&amp;t=89s", "Go to time")</f>
        <v/>
      </c>
    </row>
    <row r="5591">
      <c r="A5591">
        <f>HYPERLINK("https://www.youtube.com/watch?v=QYXT8hEI8tM", "Video")</f>
        <v/>
      </c>
      <c r="B5591" t="inlineStr">
        <is>
          <t>7:51</t>
        </is>
      </c>
      <c r="C5591" t="inlineStr">
        <is>
          <t>plane and a ship and and drive it around</t>
        </is>
      </c>
      <c r="D5591">
        <f>HYPERLINK("https://www.youtube.com/watch?v=QYXT8hEI8tM&amp;t=471s", "Go to time")</f>
        <v/>
      </c>
    </row>
    <row r="5592">
      <c r="A5592">
        <f>HYPERLINK("https://www.youtube.com/watch?v=nf-Yy3EuZi0", "Video")</f>
        <v/>
      </c>
      <c r="B5592" t="inlineStr">
        <is>
          <t>2:10</t>
        </is>
      </c>
      <c r="C5592" t="inlineStr">
        <is>
          <t>it can drive habitat losses</t>
        </is>
      </c>
      <c r="D5592">
        <f>HYPERLINK("https://www.youtube.com/watch?v=nf-Yy3EuZi0&amp;t=130s", "Go to time")</f>
        <v/>
      </c>
    </row>
    <row r="5593">
      <c r="A5593">
        <f>HYPERLINK("https://www.youtube.com/watch?v=ZGk-rH_zcPE", "Video")</f>
        <v/>
      </c>
      <c r="B5593" t="inlineStr">
        <is>
          <t>0:53</t>
        </is>
      </c>
      <c r="C5593" t="inlineStr">
        <is>
          <t>short drive away it's where Clark Kent</t>
        </is>
      </c>
      <c r="D5593">
        <f>HYPERLINK("https://www.youtube.com/watch?v=ZGk-rH_zcPE&amp;t=53s", "Go to time")</f>
        <v/>
      </c>
    </row>
    <row r="5594">
      <c r="A5594">
        <f>HYPERLINK("https://www.youtube.com/watch?v=ZGk-rH_zcPE", "Video")</f>
        <v/>
      </c>
      <c r="B5594" t="inlineStr">
        <is>
          <t>2:10</t>
        </is>
      </c>
      <c r="C5594" t="inlineStr">
        <is>
          <t>just a short drive from the city so</t>
        </is>
      </c>
      <c r="D5594">
        <f>HYPERLINK("https://www.youtube.com/watch?v=ZGk-rH_zcPE&amp;t=130s", "Go to time")</f>
        <v/>
      </c>
    </row>
    <row r="5595">
      <c r="A5595">
        <f>HYPERLINK("https://www.youtube.com/watch?v=ZGk-rH_zcPE", "Video")</f>
        <v/>
      </c>
      <c r="B5595" t="inlineStr">
        <is>
          <t>3:56</t>
        </is>
      </c>
      <c r="C5595" t="inlineStr">
        <is>
          <t>drive you can go from downtown to the</t>
        </is>
      </c>
      <c r="D5595">
        <f>HYPERLINK("https://www.youtube.com/watch?v=ZGk-rH_zcPE&amp;t=236s", "Go to time")</f>
        <v/>
      </c>
    </row>
    <row r="5596">
      <c r="A5596">
        <f>HYPERLINK("https://www.youtube.com/watch?v=HnsKfdnKZVk", "Video")</f>
        <v/>
      </c>
      <c r="B5596" t="inlineStr">
        <is>
          <t>0:01</t>
        </is>
      </c>
      <c r="C5596" t="inlineStr">
        <is>
          <t>Let's say I want to drive from Vox's 
New York office to our office in DC.</t>
        </is>
      </c>
      <c r="D5596">
        <f>HYPERLINK("https://www.youtube.com/watch?v=HnsKfdnKZVk&amp;t=1s", "Go to time")</f>
        <v/>
      </c>
    </row>
    <row r="5597">
      <c r="A5597">
        <f>HYPERLINK("https://www.youtube.com/watch?v=HnsKfdnKZVk", "Video")</f>
        <v/>
      </c>
      <c r="B5597" t="inlineStr">
        <is>
          <t>0:13</t>
        </is>
      </c>
      <c r="C5597" t="inlineStr">
        <is>
          <t>that same drive produces 
zero emissions.</t>
        </is>
      </c>
      <c r="D5597">
        <f>HYPERLINK("https://www.youtube.com/watch?v=HnsKfdnKZVk&amp;t=13s", "Go to time")</f>
        <v/>
      </c>
    </row>
    <row r="5598">
      <c r="A5598">
        <f>HYPERLINK("https://www.youtube.com/watch?v=HnsKfdnKZVk", "Video")</f>
        <v/>
      </c>
      <c r="B5598" t="inlineStr">
        <is>
          <t>0:44</t>
        </is>
      </c>
      <c r="C5598" t="inlineStr">
        <is>
          <t>drives deforestation and 
pollutes the air.</t>
        </is>
      </c>
      <c r="D5598">
        <f>HYPERLINK("https://www.youtube.com/watch?v=HnsKfdnKZVk&amp;t=44s", "Go to time")</f>
        <v/>
      </c>
    </row>
    <row r="5599">
      <c r="A5599">
        <f>HYPERLINK("https://www.youtube.com/watch?v=HnsKfdnKZVk", "Video")</f>
        <v/>
      </c>
      <c r="B5599" t="inlineStr">
        <is>
          <t>1:46</t>
        </is>
      </c>
      <c r="C5599" t="inlineStr">
        <is>
          <t>the industry has seen in recent years is 
driven by the demand for EV batteries.</t>
        </is>
      </c>
      <c r="D5599">
        <f>HYPERLINK("https://www.youtube.com/watch?v=HnsKfdnKZVk&amp;t=106s", "Go to time")</f>
        <v/>
      </c>
    </row>
    <row r="5600">
      <c r="A5600">
        <f>HYPERLINK("https://www.youtube.com/watch?v=mvQ62EdP-mc", "Video")</f>
        <v/>
      </c>
      <c r="B5600" t="inlineStr">
        <is>
          <t>14:47</t>
        </is>
      </c>
      <c r="C5600" t="inlineStr">
        <is>
          <t>what what drives this obsession for you</t>
        </is>
      </c>
      <c r="D5600">
        <f>HYPERLINK("https://www.youtube.com/watch?v=mvQ62EdP-mc&amp;t=887s", "Go to time")</f>
        <v/>
      </c>
    </row>
    <row r="5601">
      <c r="A5601">
        <f>HYPERLINK("https://www.youtube.com/watch?v=VWUXDDM_TAQ", "Video")</f>
        <v/>
      </c>
      <c r="B5601" t="inlineStr">
        <is>
          <t>9:39</t>
        </is>
      </c>
      <c r="C5601" t="inlineStr">
        <is>
          <t>deliver drive the trucks you know all</t>
        </is>
      </c>
      <c r="D5601">
        <f>HYPERLINK("https://www.youtube.com/watch?v=VWUXDDM_TAQ&amp;t=579s", "Go to time")</f>
        <v/>
      </c>
    </row>
    <row r="5602">
      <c r="A5602">
        <f>HYPERLINK("https://www.youtube.com/watch?v=VWUXDDM_TAQ", "Video")</f>
        <v/>
      </c>
      <c r="B5602" t="inlineStr">
        <is>
          <t>19:45</t>
        </is>
      </c>
      <c r="C5602" t="inlineStr">
        <is>
          <t>drives that lack of correlation? Is it</t>
        </is>
      </c>
      <c r="D5602">
        <f>HYPERLINK("https://www.youtube.com/watch?v=VWUXDDM_TAQ&amp;t=1185s", "Go to time")</f>
        <v/>
      </c>
    </row>
    <row r="5603">
      <c r="A5603">
        <f>HYPERLINK("https://www.youtube.com/watch?v=88Cd5H3kmXQ", "Video")</f>
        <v/>
      </c>
      <c r="B5603" t="inlineStr">
        <is>
          <t>5:33</t>
        </is>
      </c>
      <c r="C5603" t="inlineStr">
        <is>
          <t>If you drive a car
for a year in the U.S.,</t>
        </is>
      </c>
      <c r="D5603">
        <f>HYPERLINK("https://www.youtube.com/watch?v=88Cd5H3kmXQ&amp;t=333s", "Go to time")</f>
        <v/>
      </c>
    </row>
    <row r="5604">
      <c r="A5604">
        <f>HYPERLINK("https://www.youtube.com/watch?v=88Cd5H3kmXQ", "Video")</f>
        <v/>
      </c>
      <c r="B5604" t="inlineStr">
        <is>
          <t>5:46</t>
        </is>
      </c>
      <c r="C5604" t="inlineStr">
        <is>
          <t>What kind of car
do you drive?</t>
        </is>
      </c>
      <c r="D5604">
        <f>HYPERLINK("https://www.youtube.com/watch?v=88Cd5H3kmXQ&amp;t=346s", "Go to time")</f>
        <v/>
      </c>
    </row>
    <row r="5605">
      <c r="A5605">
        <f>HYPERLINK("https://www.youtube.com/watch?v=88Cd5H3kmXQ", "Video")</f>
        <v/>
      </c>
      <c r="B5605" t="inlineStr">
        <is>
          <t>5:48</t>
        </is>
      </c>
      <c r="C5605" t="inlineStr">
        <is>
          <t>I drive a Nissan Silvia.</t>
        </is>
      </c>
      <c r="D5605">
        <f>HYPERLINK("https://www.youtube.com/watch?v=88Cd5H3kmXQ&amp;t=348s", "Go to time")</f>
        <v/>
      </c>
    </row>
    <row r="5606">
      <c r="A5606">
        <f>HYPERLINK("https://www.youtube.com/watch?v=88Cd5H3kmXQ", "Video")</f>
        <v/>
      </c>
      <c r="B5606" t="inlineStr">
        <is>
          <t>5:53</t>
        </is>
      </c>
      <c r="C5606" t="inlineStr">
        <is>
          <t>You probably drive less
than the average American.</t>
        </is>
      </c>
      <c r="D5606">
        <f>HYPERLINK("https://www.youtube.com/watch?v=88Cd5H3kmXQ&amp;t=353s", "Go to time")</f>
        <v/>
      </c>
    </row>
    <row r="5607">
      <c r="A5607">
        <f>HYPERLINK("https://www.youtube.com/watch?v=88Cd5H3kmXQ", "Video")</f>
        <v/>
      </c>
      <c r="B5607" t="inlineStr">
        <is>
          <t>19:48</t>
        </is>
      </c>
      <c r="C5607" t="inlineStr">
        <is>
          <t>If I fly, if I drive,
 if I heat or cool my home,</t>
        </is>
      </c>
      <c r="D5607">
        <f>HYPERLINK("https://www.youtube.com/watch?v=88Cd5H3kmXQ&amp;t=1188s", "Go to time")</f>
        <v/>
      </c>
    </row>
    <row r="5608">
      <c r="A5608">
        <f>HYPERLINK("https://www.youtube.com/watch?v=FrqIA0PpAv8", "Video")</f>
        <v/>
      </c>
      <c r="B5608" t="inlineStr">
        <is>
          <t>7:56</t>
        </is>
      </c>
      <c r="C5608" t="inlineStr">
        <is>
          <t>If you take away to 909 from that, a lot of
that thumping drive is gone.</t>
        </is>
      </c>
      <c r="D5608">
        <f>HYPERLINK("https://www.youtube.com/watch?v=FrqIA0PpAv8&amp;t=476s", "Go to time")</f>
        <v/>
      </c>
    </row>
    <row r="5609">
      <c r="A5609">
        <f>HYPERLINK("https://www.youtube.com/watch?v=FrqIA0PpAv8", "Video")</f>
        <v/>
      </c>
      <c r="B5609" t="inlineStr">
        <is>
          <t>10:41</t>
        </is>
      </c>
      <c r="C5609" t="inlineStr">
        <is>
          <t>Just like House, the sound of italo-disco
is driven by drum machines and synthesizers.</t>
        </is>
      </c>
      <c r="D5609">
        <f>HYPERLINK("https://www.youtube.com/watch?v=FrqIA0PpAv8&amp;t=641s", "Go to time")</f>
        <v/>
      </c>
    </row>
    <row r="5610">
      <c r="A5610">
        <f>HYPERLINK("https://www.youtube.com/watch?v=twAP3buj9Og", "Video")</f>
        <v/>
      </c>
      <c r="B5610" t="inlineStr">
        <is>
          <t>14:07</t>
        </is>
      </c>
      <c r="C5610" t="inlineStr">
        <is>
          <t>A driver, an archeologist</t>
        </is>
      </c>
      <c r="D5610">
        <f>HYPERLINK("https://www.youtube.com/watch?v=twAP3buj9Og&amp;t=847s", "Go to time")</f>
        <v/>
      </c>
    </row>
    <row r="5611">
      <c r="A5611">
        <f>HYPERLINK("https://www.youtube.com/watch?v=VtTLUnH5vps", "Video")</f>
        <v/>
      </c>
      <c r="B5611" t="inlineStr">
        <is>
          <t>6:13</t>
        </is>
      </c>
      <c r="C5611" t="inlineStr">
        <is>
          <t>this can drive customers into a</t>
        </is>
      </c>
      <c r="D5611">
        <f>HYPERLINK("https://www.youtube.com/watch?v=VtTLUnH5vps&amp;t=373s", "Go to time")</f>
        <v/>
      </c>
    </row>
    <row r="5612">
      <c r="A5612">
        <f>HYPERLINK("https://www.youtube.com/watch?v=uhx1sdX2bow", "Video")</f>
        <v/>
      </c>
      <c r="B5612" t="inlineStr">
        <is>
          <t>19:50</t>
        </is>
      </c>
      <c r="C5612" t="inlineStr">
        <is>
          <t>in the street or drives her car is</t>
        </is>
      </c>
      <c r="D5612">
        <f>HYPERLINK("https://www.youtube.com/watch?v=uhx1sdX2bow&amp;t=1190s", "Go to time")</f>
        <v/>
      </c>
    </row>
    <row r="5613">
      <c r="A5613">
        <f>HYPERLINK("https://www.youtube.com/watch?v=uhx1sdX2bow", "Video")</f>
        <v/>
      </c>
      <c r="B5613" t="inlineStr">
        <is>
          <t>20:39</t>
        </is>
      </c>
      <c r="C5613" t="inlineStr">
        <is>
          <t>the name of the woman who drives in her</t>
        </is>
      </c>
      <c r="D5613">
        <f>HYPERLINK("https://www.youtube.com/watch?v=uhx1sdX2bow&amp;t=1239s", "Go to time")</f>
        <v/>
      </c>
    </row>
    <row r="5614">
      <c r="A5614">
        <f>HYPERLINK("https://www.youtube.com/watch?v=uhx1sdX2bow", "Video")</f>
        <v/>
      </c>
      <c r="B5614" t="inlineStr">
        <is>
          <t>25:06</t>
        </is>
      </c>
      <c r="C5614" t="inlineStr">
        <is>
          <t>this drive to summon forces that we</t>
        </is>
      </c>
      <c r="D5614">
        <f>HYPERLINK("https://www.youtube.com/watch?v=uhx1sdX2bow&amp;t=1506s", "Go to time")</f>
        <v/>
      </c>
    </row>
    <row r="5615">
      <c r="A5615">
        <f>HYPERLINK("https://www.youtube.com/watch?v=uhx1sdX2bow", "Video")</f>
        <v/>
      </c>
      <c r="B5615" t="inlineStr">
        <is>
          <t>32:59</t>
        </is>
      </c>
      <c r="C5615" t="inlineStr">
        <is>
          <t>doesn't happen why because to drive a</t>
        </is>
      </c>
      <c r="D5615">
        <f>HYPERLINK("https://www.youtube.com/watch?v=uhx1sdX2bow&amp;t=1979s", "Go to time")</f>
        <v/>
      </c>
    </row>
    <row r="5616">
      <c r="A5616">
        <f>HYPERLINK("https://www.youtube.com/watch?v=uhx1sdX2bow", "Video")</f>
        <v/>
      </c>
      <c r="B5616" t="inlineStr">
        <is>
          <t>45:27</t>
        </is>
      </c>
      <c r="C5616" t="inlineStr">
        <is>
          <t>teach you when you learn how to drive a</t>
        </is>
      </c>
      <c r="D5616">
        <f>HYPERLINK("https://www.youtube.com/watch?v=uhx1sdX2bow&amp;t=2727s", "Go to time")</f>
        <v/>
      </c>
    </row>
    <row r="5617">
      <c r="A5617">
        <f>HYPERLINK("https://www.youtube.com/watch?v=uhx1sdX2bow", "Video")</f>
        <v/>
      </c>
      <c r="B5617" t="inlineStr">
        <is>
          <t>45:38</t>
        </is>
      </c>
      <c r="C5617" t="inlineStr">
        <is>
          <t>are now learning how to drive Ai and</t>
        </is>
      </c>
      <c r="D5617">
        <f>HYPERLINK("https://www.youtube.com/watch?v=uhx1sdX2bow&amp;t=2738s", "Go to time")</f>
        <v/>
      </c>
    </row>
    <row r="5618">
      <c r="A5618">
        <f>HYPERLINK("https://www.youtube.com/watch?v=uhx1sdX2bow", "Video")</f>
        <v/>
      </c>
      <c r="B5618" t="inlineStr">
        <is>
          <t>45:43</t>
        </is>
      </c>
      <c r="C5618" t="inlineStr">
        <is>
          <t>accelerator are we learning how to drive</t>
        </is>
      </c>
      <c r="D5618">
        <f>HYPERLINK("https://www.youtube.com/watch?v=uhx1sdX2bow&amp;t=2743s", "Go to time")</f>
        <v/>
      </c>
    </row>
    <row r="5619">
      <c r="A5619">
        <f>HYPERLINK("https://www.youtube.com/watch?v=uhx1sdX2bow", "Video")</f>
        <v/>
      </c>
      <c r="B5619" t="inlineStr">
        <is>
          <t>45:45</t>
        </is>
      </c>
      <c r="C5619" t="inlineStr">
        <is>
          <t>AI or is AI learning how to drive us</t>
        </is>
      </c>
      <c r="D5619">
        <f>HYPERLINK("https://www.youtube.com/watch?v=uhx1sdX2bow&amp;t=2745s", "Go to time")</f>
        <v/>
      </c>
    </row>
    <row r="5620">
      <c r="A5620">
        <f>HYPERLINK("https://www.youtube.com/watch?v=uhx1sdX2bow", "Video")</f>
        <v/>
      </c>
      <c r="B5620" t="inlineStr">
        <is>
          <t>45:52</t>
        </is>
      </c>
      <c r="C5620" t="inlineStr">
        <is>
          <t>still in the driver's seat it's still</t>
        </is>
      </c>
      <c r="D5620">
        <f>HYPERLINK("https://www.youtube.com/watch?v=uhx1sdX2bow&amp;t=2752s", "Go to time")</f>
        <v/>
      </c>
    </row>
    <row r="5621">
      <c r="A5621">
        <f>HYPERLINK("https://www.youtube.com/watch?v=uhx1sdX2bow", "Video")</f>
        <v/>
      </c>
      <c r="B5621" t="inlineStr">
        <is>
          <t>49:50</t>
        </is>
      </c>
      <c r="C5621" t="inlineStr">
        <is>
          <t>was initially driven by the decisions of</t>
        </is>
      </c>
      <c r="D5621">
        <f>HYPERLINK("https://www.youtube.com/watch?v=uhx1sdX2bow&amp;t=2990s", "Go to time")</f>
        <v/>
      </c>
    </row>
    <row r="5622">
      <c r="A5622">
        <f>HYPERLINK("https://www.youtube.com/watch?v=uhx1sdX2bow", "Video")</f>
        <v/>
      </c>
      <c r="B5622" t="inlineStr">
        <is>
          <t>49:57</t>
        </is>
      </c>
      <c r="C5622" t="inlineStr">
        <is>
          <t>Communist party now it's driven by</t>
        </is>
      </c>
      <c r="D5622">
        <f>HYPERLINK("https://www.youtube.com/watch?v=uhx1sdX2bow&amp;t=2997s",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2025-05-29T16:40:52Z</dcterms:created>
  <dcterms:modified xsi:type="dcterms:W3CDTF">2025-05-29T16:40:53Z</dcterms:modified>
</cp:coreProperties>
</file>